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3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5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225" yWindow="-240" windowWidth="15360" windowHeight="8655" tabRatio="801"/>
  </bookViews>
  <sheets>
    <sheet name="Index" sheetId="11" r:id="rId1"/>
    <sheet name="Summary" sheetId="12" r:id="rId2"/>
    <sheet name="Application Fees" sheetId="1" r:id="rId3"/>
    <sheet name="Point Sourc Subs calc " sheetId="3" r:id="rId4"/>
    <sheet name="Disposal to Land  Subs" sheetId="9" r:id="rId5"/>
    <sheet name="Abstraction Subs Calc" sheetId="4" r:id="rId6"/>
    <sheet name="Impoundment Subs Calc" sheetId="6" r:id="rId7"/>
    <sheet name="Engineering Subsistence Scheme" sheetId="13" r:id="rId8"/>
    <sheet name="Eng Subs Calc" sheetId="8" state="hidden" r:id="rId9"/>
  </sheets>
  <definedNames>
    <definedName name="_xlnm._FilterDatabase" localSheetId="3" hidden="1">'Point Sourc Subs calc '!$B$27:$B$32</definedName>
    <definedName name="_ftn1" localSheetId="1">Summary!$C$46</definedName>
    <definedName name="_ftnref1" localSheetId="1">Summary!$C$41</definedName>
    <definedName name="_xlnm.Print_Area" localSheetId="7">'Engineering Subsistence Scheme'!$A$5:$E$24</definedName>
    <definedName name="_xlnm.Print_Area" localSheetId="6">'Impoundment Subs Calc'!$A$4:$E$29</definedName>
    <definedName name="_xlnm.Print_Area" localSheetId="1">Summary!$C$5:$F$28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Index!#REF!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45621"/>
</workbook>
</file>

<file path=xl/calcChain.xml><?xml version="1.0" encoding="utf-8"?>
<calcChain xmlns="http://schemas.openxmlformats.org/spreadsheetml/2006/main">
  <c r="E10" i="13" l="1"/>
  <c r="E21" i="13" s="1"/>
  <c r="E10" i="3"/>
  <c r="E49" i="3" s="1"/>
  <c r="E12" i="3"/>
  <c r="E45" i="3" s="1"/>
  <c r="E21" i="12" s="1"/>
  <c r="E14" i="3"/>
  <c r="E18" i="3"/>
  <c r="E16" i="3"/>
  <c r="E12" i="13"/>
  <c r="E14" i="13"/>
  <c r="E19" i="13" s="1"/>
  <c r="E26" i="12" s="1"/>
  <c r="Q38" i="3"/>
  <c r="Q36" i="3"/>
  <c r="Q37" i="3" s="1"/>
  <c r="O37" i="3"/>
  <c r="D21" i="1"/>
  <c r="C21" i="1"/>
  <c r="F21" i="1"/>
  <c r="D26" i="1"/>
  <c r="G29" i="1" s="1"/>
  <c r="G27" i="1" s="1"/>
  <c r="E21" i="1"/>
  <c r="G22" i="1"/>
  <c r="E26" i="1"/>
  <c r="F26" i="1"/>
  <c r="C26" i="1"/>
  <c r="E12" i="12" s="1"/>
  <c r="E15" i="12"/>
  <c r="E14" i="12"/>
  <c r="E13" i="12"/>
  <c r="N38" i="3"/>
  <c r="L37" i="3"/>
  <c r="N36" i="3"/>
  <c r="N37" i="3"/>
  <c r="B26" i="1"/>
  <c r="G21" i="1"/>
  <c r="B21" i="1"/>
  <c r="G17" i="1"/>
  <c r="E10" i="9"/>
  <c r="E32" i="9" s="1"/>
  <c r="E22" i="12" s="1"/>
  <c r="E13" i="9"/>
  <c r="E16" i="9"/>
  <c r="E9" i="4"/>
  <c r="E36" i="4" s="1"/>
  <c r="E23" i="12" s="1"/>
  <c r="E15" i="4"/>
  <c r="E11" i="4"/>
  <c r="E13" i="4"/>
  <c r="E17" i="4"/>
  <c r="E21" i="4"/>
  <c r="E19" i="4"/>
  <c r="F13" i="8"/>
  <c r="F16" i="8" s="1"/>
  <c r="F12" i="8"/>
  <c r="F14" i="8" s="1"/>
  <c r="H28" i="8"/>
  <c r="H29" i="8"/>
  <c r="H30" i="8"/>
  <c r="H31" i="8"/>
  <c r="H32" i="8"/>
  <c r="H33" i="8"/>
  <c r="F21" i="8"/>
  <c r="F20" i="8"/>
  <c r="E8" i="6"/>
  <c r="E29" i="6" s="1"/>
  <c r="E24" i="12" s="1"/>
  <c r="E12" i="6"/>
  <c r="E10" i="6"/>
  <c r="D28" i="8"/>
  <c r="D29" i="8"/>
  <c r="D19" i="8" s="1"/>
  <c r="D30" i="8"/>
  <c r="D31" i="8"/>
  <c r="D32" i="8"/>
  <c r="D33" i="8"/>
  <c r="E28" i="8"/>
  <c r="E29" i="8"/>
  <c r="E30" i="8"/>
  <c r="E31" i="8"/>
  <c r="E32" i="8"/>
  <c r="E33" i="8"/>
  <c r="E19" i="8"/>
  <c r="F28" i="8"/>
  <c r="F29" i="8"/>
  <c r="F19" i="8" s="1"/>
  <c r="F30" i="8"/>
  <c r="F31" i="8"/>
  <c r="F32" i="8"/>
  <c r="F33" i="8"/>
  <c r="G28" i="8"/>
  <c r="G29" i="8"/>
  <c r="G30" i="8"/>
  <c r="G31" i="8"/>
  <c r="G32" i="8"/>
  <c r="G33" i="8"/>
  <c r="G19" i="8"/>
  <c r="H19" i="8"/>
  <c r="E22" i="6"/>
  <c r="E36" i="3"/>
  <c r="S34" i="4"/>
  <c r="H38" i="3"/>
  <c r="K38" i="3"/>
  <c r="E17" i="12"/>
  <c r="I38" i="3"/>
  <c r="F38" i="3"/>
  <c r="B38" i="3"/>
  <c r="K22" i="6"/>
  <c r="H22" i="6"/>
  <c r="K36" i="3"/>
  <c r="K37" i="3"/>
  <c r="H36" i="3"/>
  <c r="H37" i="3"/>
  <c r="E37" i="3"/>
  <c r="I33" i="8"/>
  <c r="G8" i="8" l="1"/>
  <c r="H8" i="8" s="1"/>
  <c r="I8" i="8" s="1"/>
  <c r="G7" i="8"/>
  <c r="H7" i="8" s="1"/>
  <c r="I7" i="8" s="1"/>
  <c r="G10" i="8"/>
  <c r="H10" i="8" s="1"/>
  <c r="I10" i="8" s="1"/>
  <c r="G9" i="8"/>
  <c r="H9" i="8" s="1"/>
  <c r="I9" i="8" s="1"/>
  <c r="G11" i="8"/>
  <c r="H11" i="8" s="1"/>
  <c r="I11" i="8" s="1"/>
  <c r="E27" i="12"/>
  <c r="E23" i="13"/>
  <c r="G26" i="1"/>
  <c r="I19" i="8" l="1"/>
</calcChain>
</file>

<file path=xl/sharedStrings.xml><?xml version="1.0" encoding="utf-8"?>
<sst xmlns="http://schemas.openxmlformats.org/spreadsheetml/2006/main" count="351" uniqueCount="251">
  <si>
    <t>Reg</t>
  </si>
  <si>
    <t>SL</t>
  </si>
  <si>
    <t>CL</t>
  </si>
  <si>
    <t>Application Fees</t>
  </si>
  <si>
    <t>Volume</t>
  </si>
  <si>
    <t>Content</t>
  </si>
  <si>
    <t>Bands</t>
  </si>
  <si>
    <t>Multipliers</t>
  </si>
  <si>
    <t>receiving waters</t>
  </si>
  <si>
    <t>Selected multipliers</t>
  </si>
  <si>
    <t>No. abstractions</t>
  </si>
  <si>
    <t>Volume Impounded</t>
  </si>
  <si>
    <t>Fish Passage</t>
  </si>
  <si>
    <t>No of Impoundments</t>
  </si>
  <si>
    <t>Impoundment Subsistence Charge Calculator</t>
  </si>
  <si>
    <t xml:space="preserve">place an x alongside the appropriate band in the blue column ( only one X per column). </t>
  </si>
  <si>
    <t>The subsistence charge is showin in yellow below</t>
  </si>
  <si>
    <t>Length of works or structure on &lt;250 m of bank</t>
  </si>
  <si>
    <t>Length of works or structure on 250 m to 1 km of bank</t>
  </si>
  <si>
    <t>Length of works or structure on &gt;1 km of bank</t>
  </si>
  <si>
    <t>Length of works or structure on &gt;1 km of bed</t>
  </si>
  <si>
    <t>Band</t>
  </si>
  <si>
    <t>Impact zone and length impacted</t>
  </si>
  <si>
    <t>Length of works or structure on 25 to 250 m of bed</t>
  </si>
  <si>
    <t>Length of works or structure on &gt;250 m to 1 km of bed</t>
  </si>
  <si>
    <t>Note: These charges will be subject to a RPI increase each year.</t>
  </si>
  <si>
    <t>Subs /yr</t>
  </si>
  <si>
    <t>Duration of subs charge yrs</t>
  </si>
  <si>
    <t>yr2</t>
  </si>
  <si>
    <t>yr3</t>
  </si>
  <si>
    <t>yr4</t>
  </si>
  <si>
    <t>yr5</t>
  </si>
  <si>
    <t>Financial planner - Subs cost per yrs 1 - 5</t>
  </si>
  <si>
    <t>Total for each band for  whole duration</t>
  </si>
  <si>
    <t xml:space="preserve">Subsistence charging will continue until the engineering activity has been completed and will continue for a period after the completion of the work. </t>
  </si>
  <si>
    <t>Engineering Subsistence Charge Calculator</t>
  </si>
  <si>
    <t xml:space="preserve">Total </t>
  </si>
  <si>
    <t>Loss</t>
  </si>
  <si>
    <t>Length Affected</t>
  </si>
  <si>
    <t>Seasonality</t>
  </si>
  <si>
    <t>Source</t>
  </si>
  <si>
    <t>Proportion of Flow</t>
  </si>
  <si>
    <t>Multiplier</t>
  </si>
  <si>
    <t>Mul</t>
  </si>
  <si>
    <t>Annual Charge (£)</t>
  </si>
  <si>
    <t>Disposal to Land Subsistence Calculator</t>
  </si>
  <si>
    <t>yr6</t>
  </si>
  <si>
    <t>Subsistence in yrs 2- 6</t>
  </si>
  <si>
    <t xml:space="preserve"> </t>
  </si>
  <si>
    <t>Volume m3/d</t>
  </si>
  <si>
    <t>Summary of Charges</t>
  </si>
  <si>
    <t>Application Charges</t>
  </si>
  <si>
    <t>Simple Licences</t>
  </si>
  <si>
    <t>Complex Licences</t>
  </si>
  <si>
    <t>Subsistence Fees</t>
  </si>
  <si>
    <t>Point Source</t>
  </si>
  <si>
    <t>Disposal to Land</t>
  </si>
  <si>
    <t>Abstraction</t>
  </si>
  <si>
    <t>Impoundment</t>
  </si>
  <si>
    <t>Engineering</t>
  </si>
  <si>
    <t>Total Application Fee</t>
  </si>
  <si>
    <t>Total Estimated Subsistence Fees</t>
  </si>
  <si>
    <t xml:space="preserve">Index </t>
  </si>
  <si>
    <t>the text below.</t>
  </si>
  <si>
    <t>Subsistence Fees:</t>
  </si>
  <si>
    <t xml:space="preserve">Point Source </t>
  </si>
  <si>
    <t>Financial Summary</t>
  </si>
  <si>
    <t>Please select which calculation you would like to make by clicking on</t>
  </si>
  <si>
    <t>D:      Organic - descriptive/ other trade   2</t>
  </si>
  <si>
    <t>Content  Factor</t>
  </si>
  <si>
    <t>Receiving Water</t>
  </si>
  <si>
    <t xml:space="preserve">Volume </t>
  </si>
  <si>
    <t>Loss Factor</t>
  </si>
  <si>
    <t>Season</t>
  </si>
  <si>
    <t>Number of Abstractions</t>
  </si>
  <si>
    <t>Abstraction Subsistence Charges Calculator</t>
  </si>
  <si>
    <t>Number of impoundments</t>
  </si>
  <si>
    <t>V1               0 - 5 m3/d                     0.3</t>
  </si>
  <si>
    <t>V2             &gt;5- 20 m3/d                    0.5</t>
  </si>
  <si>
    <t>V3         &gt;20 - 100 m3/d                   1.0</t>
  </si>
  <si>
    <t>V4      &gt;100 - 1000 m3/d                   2.0</t>
  </si>
  <si>
    <t>V5   &gt;1000 - 10000 m3/d                  3.0</t>
  </si>
  <si>
    <t xml:space="preserve">V6  &gt;10000 - 50000 m3/d                 6.0  </t>
  </si>
  <si>
    <t>V7  &gt;50000 -150000 m3/d               12.0</t>
  </si>
  <si>
    <t>V8  &gt;150000  m3/d                          24.0</t>
  </si>
  <si>
    <t>A :     Toxics - as specified                       14</t>
  </si>
  <si>
    <t xml:space="preserve">B:      Toxics - as specified                         5 </t>
  </si>
  <si>
    <t>C:      Organic - numeric limits                    3</t>
  </si>
  <si>
    <t>E:      CSO's, EO,s  quarries etc                1</t>
  </si>
  <si>
    <t>F:      Surface Water                               0.5</t>
  </si>
  <si>
    <t xml:space="preserve">G:     Tank fish farms                              0.3 </t>
  </si>
  <si>
    <t>Groundwaters or land                            0.5</t>
  </si>
  <si>
    <t>Inland Waters                                       1.0</t>
  </si>
  <si>
    <t>Coastal Waters                                    1.5</t>
  </si>
  <si>
    <t>Transitional Waters ( estuaries)           1.5</t>
  </si>
  <si>
    <t>V1 &lt;=5 m3/d                           0.3</t>
  </si>
  <si>
    <t>V3 &gt;20m3/d                            1.0</t>
  </si>
  <si>
    <t>V2 5- 20m3/d                           0.5</t>
  </si>
  <si>
    <t>All                                              2</t>
  </si>
  <si>
    <t>Groundwaters or land               0.5</t>
  </si>
  <si>
    <t>V1 &gt;150 ML per day                                                                   22.8</t>
  </si>
  <si>
    <t>V2 &gt;50 to 150 ML per day                                                         13.7</t>
  </si>
  <si>
    <t>V3 &gt;10 to 50 ML per day                                                             9.3</t>
  </si>
  <si>
    <r>
      <t>V6 &gt;50 to 100 m</t>
    </r>
    <r>
      <rPr>
        <vertAlign val="superscript"/>
        <sz val="10"/>
        <rFont val="Verdana"/>
        <family val="2"/>
      </rPr>
      <t>3</t>
    </r>
    <r>
      <rPr>
        <sz val="10"/>
        <rFont val="Verdana"/>
        <family val="2"/>
      </rPr>
      <t xml:space="preserve"> per day                                                            0.3                                                                  </t>
    </r>
  </si>
  <si>
    <r>
      <t>V7 0 to 50 m</t>
    </r>
    <r>
      <rPr>
        <vertAlign val="superscript"/>
        <sz val="10"/>
        <rFont val="Verdana"/>
        <family val="2"/>
      </rPr>
      <t>3</t>
    </r>
    <r>
      <rPr>
        <sz val="10"/>
        <rFont val="Verdana"/>
        <family val="2"/>
      </rPr>
      <t xml:space="preserve"> per day                                                                      0</t>
    </r>
  </si>
  <si>
    <t>Partially consumptive      1</t>
  </si>
  <si>
    <t>Consumptive                    1.1</t>
  </si>
  <si>
    <t>Returned &lt;500 m from abstraction                              0.2</t>
  </si>
  <si>
    <t>Returned 1 km to 5 km from abstraction                       1.3</t>
  </si>
  <si>
    <t xml:space="preserve">Returned 500 m to &lt;1 km from abstraction                  0.9   </t>
  </si>
  <si>
    <t>Winter only (1 October to 31 March)      0.1</t>
  </si>
  <si>
    <t xml:space="preserve">All year                                                      1.0 </t>
  </si>
  <si>
    <t>Coastal and Estuary              0.17</t>
  </si>
  <si>
    <t>Inland water                          1.0</t>
  </si>
  <si>
    <t>&gt;50% of the natural 95th percentile flow abstracted   1.05</t>
  </si>
  <si>
    <t>10–50% of the natural 95th percentile flow abstracted   1.0</t>
  </si>
  <si>
    <t>&lt;10% of the natural 95th percentile flow abstracted   0.95</t>
  </si>
  <si>
    <t>26 –100   3.6</t>
  </si>
  <si>
    <t>1–5        1.0</t>
  </si>
  <si>
    <t xml:space="preserve">6–25       2.0 </t>
  </si>
  <si>
    <t>&gt;100       9.4</t>
  </si>
  <si>
    <t>V2 &gt;50,000 to 100,000 ML           8.5</t>
  </si>
  <si>
    <t>V3 &gt;25,000 to 50,000 ML             6.6</t>
  </si>
  <si>
    <t>V4 &gt;1,000 to 25,000 ML               4.5</t>
  </si>
  <si>
    <t>V1 &gt;100,000 ML                         10.7</t>
  </si>
  <si>
    <t>V5 &gt;100 to 1,000 ML                     2.5</t>
  </si>
  <si>
    <t xml:space="preserve">V6 &gt;25 to 100 ML                          2.2 </t>
  </si>
  <si>
    <t xml:space="preserve">V7 0 to 25 ML                                  0   </t>
  </si>
  <si>
    <t>Fish pass present     0.95</t>
  </si>
  <si>
    <t>1 to 2        1.0</t>
  </si>
  <si>
    <t>No fish pass                  1.0</t>
  </si>
  <si>
    <t>3 to 5       1.5</t>
  </si>
  <si>
    <t>6 to 10     2.1</t>
  </si>
  <si>
    <t>&gt;10          3.0</t>
  </si>
  <si>
    <t>Please Select from Drop Down List</t>
  </si>
  <si>
    <t>Non consumptive             0.3</t>
  </si>
  <si>
    <t>Point Source Subsistence Charges Calculator</t>
  </si>
  <si>
    <t>Clear Selection</t>
  </si>
  <si>
    <t>Content Factor *</t>
  </si>
  <si>
    <t>*(List for content factor is indicative please see proposed scheme for full definitions)</t>
  </si>
  <si>
    <t>£</t>
  </si>
  <si>
    <t xml:space="preserve">Note 1 </t>
  </si>
  <si>
    <t>For engineering subsistence calculation for a site, all the activities which affect the banks should be added together for a cumulative length of banks and all the activities which affect the bed should be added together for a cumulative length of bed.  Where subsistence applies, this will result in only one bank fee and/or one bed fee for each site.  Therfore for each site, there can only be a maximum of 2 subsistence charges either Band 1 or 2 for banks and/or Bands 3, 4 or 5 bed.</t>
  </si>
  <si>
    <t>Note 2</t>
  </si>
  <si>
    <r>
      <t>V5 &gt;100 to 2000 m</t>
    </r>
    <r>
      <rPr>
        <vertAlign val="superscript"/>
        <sz val="10"/>
        <rFont val="Verdana"/>
        <family val="2"/>
      </rPr>
      <t>3</t>
    </r>
    <r>
      <rPr>
        <sz val="10"/>
        <rFont val="Verdana"/>
        <family val="2"/>
      </rPr>
      <t xml:space="preserve"> per day                                                           1 </t>
    </r>
  </si>
  <si>
    <t>V4 &gt;2 to 10 ML per day                                                                   5</t>
  </si>
  <si>
    <r>
      <t>·</t>
    </r>
    <r>
      <rPr>
        <sz val="10"/>
        <color indexed="10"/>
        <rFont val="Times New Roman"/>
        <family val="1"/>
      </rPr>
      <t xml:space="preserve">        </t>
    </r>
    <r>
      <rPr>
        <sz val="10"/>
        <color indexed="10"/>
        <rFont val="Verdana"/>
        <family val="2"/>
      </rPr>
      <t>two additional years for engineering work affecting up to 1 km of bank;</t>
    </r>
  </si>
  <si>
    <r>
      <t>·</t>
    </r>
    <r>
      <rPr>
        <sz val="10"/>
        <color indexed="10"/>
        <rFont val="Times New Roman"/>
        <family val="1"/>
      </rPr>
      <t xml:space="preserve">        </t>
    </r>
    <r>
      <rPr>
        <sz val="10"/>
        <color indexed="10"/>
        <rFont val="Verdana"/>
        <family val="2"/>
      </rPr>
      <t>five additional years for engineering work affecting a total of more than 1 km of bank; and</t>
    </r>
  </si>
  <si>
    <r>
      <t>·</t>
    </r>
    <r>
      <rPr>
        <sz val="10"/>
        <color indexed="10"/>
        <rFont val="Times New Roman"/>
        <family val="1"/>
      </rPr>
      <t xml:space="preserve">        </t>
    </r>
    <r>
      <rPr>
        <sz val="10"/>
        <color indexed="10"/>
        <rFont val="Verdana"/>
        <family val="2"/>
      </rPr>
      <t>five additional years for engineering work affecting a total of more than 250 m of the bed.</t>
    </r>
  </si>
  <si>
    <t>Length of works or structure on 50 to 250 m of bed</t>
  </si>
  <si>
    <r>
      <t>·</t>
    </r>
    <r>
      <rPr>
        <sz val="10"/>
        <color indexed="10"/>
        <rFont val="Times New Roman"/>
        <family val="1"/>
      </rPr>
      <t xml:space="preserve">        </t>
    </r>
    <r>
      <rPr>
        <sz val="10"/>
        <color indexed="10"/>
        <rFont val="Verdana"/>
        <family val="2"/>
      </rPr>
      <t>two additional years for engineering work affecting 50–250 m of the bed;</t>
    </r>
  </si>
  <si>
    <t>Relevant Subsistence Charges</t>
  </si>
  <si>
    <t>Please Put an X in Relevant Box</t>
  </si>
  <si>
    <t>Summer only (1 April to 31 October)        0.3</t>
  </si>
  <si>
    <t xml:space="preserve">Returned &gt;5 km from abstraction                               1.9  </t>
  </si>
  <si>
    <t>All regimes</t>
  </si>
  <si>
    <t>Enter the total number of associated CAR activities you are applying for in the blue boxes below:</t>
  </si>
  <si>
    <t>Web Reg</t>
  </si>
  <si>
    <t>Totals * (exc web reg)</t>
  </si>
  <si>
    <t>All Regimes</t>
  </si>
  <si>
    <t>Application Fee with no discount ( if activities are not associated)</t>
  </si>
  <si>
    <t>Application Fee with discount for associated activities</t>
  </si>
  <si>
    <t xml:space="preserve"> Total Application Fee (Associated Activities only)</t>
  </si>
  <si>
    <t xml:space="preserve">Number of Activities </t>
  </si>
  <si>
    <t>Number of Activities</t>
  </si>
  <si>
    <t>Charging Factor</t>
  </si>
  <si>
    <t>Definition</t>
  </si>
  <si>
    <t>L</t>
  </si>
  <si>
    <r>
      <t>Length of activity</t>
    </r>
    <r>
      <rPr>
        <sz val="8"/>
        <rFont val="Verdana"/>
        <family val="2"/>
      </rPr>
      <t> </t>
    </r>
  </si>
  <si>
    <t>The total length of works affecting inland surface water or wetland.</t>
  </si>
  <si>
    <t>Bd</t>
  </si>
  <si>
    <t>Bed Factor</t>
  </si>
  <si>
    <t>The proportion of the total length of works affecting the bed of the inland surface water or wetland.</t>
  </si>
  <si>
    <t>S</t>
  </si>
  <si>
    <t>Size Factor</t>
  </si>
  <si>
    <t>The size of affected inland surface water or wetland..</t>
  </si>
  <si>
    <t>Fi</t>
  </si>
  <si>
    <t>Financial</t>
  </si>
  <si>
    <t>Monetary factor in £ set to ensure cost recovery</t>
  </si>
  <si>
    <t>Charge (£) = L x Bd x S x Fi</t>
  </si>
  <si>
    <t>Length of Activity</t>
  </si>
  <si>
    <t>Bed factor</t>
  </si>
  <si>
    <t>Size factor</t>
  </si>
  <si>
    <t>1.Percentage of works affecting the bed is less than 50%.</t>
  </si>
  <si>
    <r>
      <t xml:space="preserve">2. The percentage of works affecting the bed is greater than or equal to 50% </t>
    </r>
    <r>
      <rPr>
        <u/>
        <sz val="11"/>
        <rFont val="Arial"/>
        <family val="2"/>
      </rPr>
      <t>and</t>
    </r>
    <r>
      <rPr>
        <sz val="10"/>
        <rFont val="Verdana"/>
        <family val="2"/>
      </rPr>
      <t xml:space="preserve"> less than 80%.</t>
    </r>
  </si>
  <si>
    <t>3. The percentage of works affecting the bed is greater than or equal to 80%.</t>
  </si>
  <si>
    <t>1. Licensed works affecting a river catchment of &gt;10 km2 but less than 100km2, &amp; All licensed works on lochs and wetlands.</t>
  </si>
  <si>
    <t>2. Licensed works affecting a river with catchment area greater than or equal to 100km2.</t>
  </si>
  <si>
    <t>6 -10  Activities  1.3</t>
  </si>
  <si>
    <t xml:space="preserve"> &gt;10  Activities   1.5</t>
  </si>
  <si>
    <t>1  Activity         1.0</t>
  </si>
  <si>
    <t>2 - 5  Activities  1.1</t>
  </si>
  <si>
    <t>Web Registrations</t>
  </si>
  <si>
    <t>Registrations ( paper)</t>
  </si>
  <si>
    <t>Application fee per activity</t>
  </si>
  <si>
    <r>
      <t xml:space="preserve">1. Total length of activities greater than or equal to 250m </t>
    </r>
    <r>
      <rPr>
        <u/>
        <sz val="11"/>
        <rFont val="Arial"/>
        <family val="2"/>
      </rPr>
      <t>and</t>
    </r>
    <r>
      <rPr>
        <sz val="10"/>
        <rFont val="Verdana"/>
        <family val="2"/>
      </rPr>
      <t xml:space="preserve"> less than 500m </t>
    </r>
  </si>
  <si>
    <r>
      <t xml:space="preserve">2. Total length of activities  greater than or equal to 500m </t>
    </r>
    <r>
      <rPr>
        <u/>
        <sz val="11"/>
        <rFont val="Arial"/>
        <family val="2"/>
      </rPr>
      <t>and</t>
    </r>
    <r>
      <rPr>
        <sz val="10"/>
        <rFont val="Verdana"/>
        <family val="2"/>
      </rPr>
      <t xml:space="preserve"> less than 1km</t>
    </r>
  </si>
  <si>
    <r>
      <t xml:space="preserve">3. Total length of activities greater than or equal to 1km </t>
    </r>
    <r>
      <rPr>
        <u/>
        <sz val="11"/>
        <rFont val="Arial"/>
        <family val="2"/>
      </rPr>
      <t>and</t>
    </r>
    <r>
      <rPr>
        <sz val="10"/>
        <rFont val="Verdana"/>
        <family val="2"/>
      </rPr>
      <t xml:space="preserve"> less than 5km</t>
    </r>
  </si>
  <si>
    <t>4. Total length of activities greater than or equal to 5km</t>
  </si>
  <si>
    <r>
      <t>Length of activity</t>
    </r>
    <r>
      <rPr>
        <b/>
        <sz val="8"/>
        <rFont val="Verdana"/>
        <family val="2"/>
      </rPr>
      <t> </t>
    </r>
  </si>
  <si>
    <t>Length Factor Band (refer to Table 24 above)</t>
  </si>
  <si>
    <t>Description</t>
  </si>
  <si>
    <t>Duration</t>
  </si>
  <si>
    <t>Total Length of activities affecting river, loch or wetland greater than or equal to 250m AND less than 500m</t>
  </si>
  <si>
    <t>Total Length of activities affecting river, loch or wetland greater than or equal to 500m AND less than 1km</t>
  </si>
  <si>
    <t>3 + 4</t>
  </si>
  <si>
    <t>Total Length of activities affecting river, loch or wetland greater than or equal to 1km</t>
  </si>
  <si>
    <t xml:space="preserve"> Period on subsistence charging based on the length factor </t>
  </si>
  <si>
    <t>Duration of subsistance charges (years)</t>
  </si>
  <si>
    <t>Total discount given for associated activities</t>
  </si>
  <si>
    <t xml:space="preserve">Engineering </t>
  </si>
  <si>
    <t xml:space="preserve"> Total Application Fee (activities not associated)</t>
  </si>
  <si>
    <t>1st activity</t>
  </si>
  <si>
    <t>2nd and subsequent associated  activities</t>
  </si>
  <si>
    <t xml:space="preserve">Ensure all the fields and sheets are empty before starting your own calculations </t>
  </si>
  <si>
    <t xml:space="preserve">Web Reg </t>
  </si>
  <si>
    <r>
      <t xml:space="preserve">Note if the engineering activity relates </t>
    </r>
    <r>
      <rPr>
        <u/>
        <sz val="10"/>
        <rFont val="Arial"/>
        <family val="2"/>
      </rPr>
      <t>solely</t>
    </r>
    <r>
      <rPr>
        <sz val="10"/>
        <rFont val="Arial"/>
        <family val="2"/>
      </rPr>
      <t xml:space="preserve"> to dredging of &gt;250 metres in length then subistence charges are levied for 1 year only</t>
    </r>
  </si>
  <si>
    <t>If the engineering activities include associated dredging please refer to the Charging Scheme Guidance or consult local staff.</t>
  </si>
  <si>
    <t>.</t>
  </si>
  <si>
    <t>Number of Overflows</t>
  </si>
  <si>
    <t>2 - 5             1.25</t>
  </si>
  <si>
    <t>1                1.00</t>
  </si>
  <si>
    <t>6 -10            4.00</t>
  </si>
  <si>
    <t>11 - 25         8.00</t>
  </si>
  <si>
    <t>26 - 50         16.00</t>
  </si>
  <si>
    <t>51 -100        32.00</t>
  </si>
  <si>
    <t>100 or more   64.00</t>
  </si>
  <si>
    <t>OR</t>
  </si>
  <si>
    <t>Subsistence charge reduction factor</t>
  </si>
  <si>
    <t>Where:</t>
  </si>
  <si>
    <t>namely;</t>
  </si>
  <si>
    <t>3.  Engineering, and</t>
  </si>
  <si>
    <t>4.  Abstraction or Impoundment</t>
  </si>
  <si>
    <t>* a single licence attracts two or more subsistence charges; or</t>
  </si>
  <si>
    <t>1.  Point Source</t>
  </si>
  <si>
    <t>more subsistence charges</t>
  </si>
  <si>
    <t>* two or more licences, covering activities at a single site or scheme, which attract two or</t>
  </si>
  <si>
    <t>reduced by ten percent (10%) overall.</t>
  </si>
  <si>
    <t>then the total subsistence charge , for that single licences, site or scheme, shall be</t>
  </si>
  <si>
    <t>2.  Disposal to Land</t>
  </si>
  <si>
    <t xml:space="preserve">* Select either Number of activies or Number of Overflows </t>
  </si>
  <si>
    <t>Application Fees Charge Calculator 2013/14</t>
  </si>
  <si>
    <t>2013-14</t>
  </si>
  <si>
    <t>Financial Factor 2013/14</t>
  </si>
  <si>
    <t>Annual Subsistence 2013/14 (Activities)</t>
  </si>
  <si>
    <t>Annual Subsistence 2013/14 (Overflows)</t>
  </si>
  <si>
    <t>Annual Subsistence 2013/14</t>
  </si>
  <si>
    <r>
      <t>Total Subsistance charges based on 2013/14 financial factor</t>
    </r>
    <r>
      <rPr>
        <b/>
        <i/>
        <sz val="10"/>
        <rFont val="Arial"/>
        <family val="2"/>
      </rPr>
      <t xml:space="preserve"> 
(N.B the  financial factor is likely to change from year to year hence the total subsistence payable is indicative if it is levied over 2 or more yrs)</t>
    </r>
  </si>
  <si>
    <t>Number of New including Associated Activities  (total number applied for in a single application)</t>
  </si>
  <si>
    <t xml:space="preserve">“Before submitting payments based on this calculator, applicants should read the section on “Reductions and exceptions for applications fees” </t>
  </si>
  <si>
    <t xml:space="preserve">(link to gudance) in SEPA’s Water Environment Charging scheme guidance to ensure the correct payment has been calculated.”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</si>
</sst>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£&quot;#,##0;\-&quot;£&quot;#,##0"/>
    <numFmt numFmtId="7" formatCode="&quot;£&quot;#,##0.00;\-&quot;£&quot;#,##0.00"/>
    <numFmt numFmtId="42" formatCode="_-&quot;£&quot;* #,##0_-;\-&quot;£&quot;* #,##0_-;_-&quot;£&quot;* &quot;-&quot;_-;_-@_-"/>
    <numFmt numFmtId="164" formatCode="#,##0.00_ ;\-#,##0.00\ "/>
    <numFmt numFmtId="165" formatCode="&quot;£&quot;#,##0"/>
    <numFmt numFmtId="170" formatCode="0.0"/>
    <numFmt numFmtId="174" formatCode="&quot;£&quot;#,##0.00"/>
    <numFmt numFmtId="175" formatCode="0.0%"/>
  </numFmts>
  <fonts count="3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8"/>
      <name val="Arial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</font>
    <font>
      <sz val="10"/>
      <color indexed="8"/>
      <name val="Verdana"/>
      <family val="2"/>
    </font>
    <font>
      <sz val="10"/>
      <name val="Arial"/>
    </font>
    <font>
      <vertAlign val="superscript"/>
      <sz val="10"/>
      <name val="Verdana"/>
      <family val="2"/>
    </font>
    <font>
      <sz val="9"/>
      <color indexed="10"/>
      <name val="Arial"/>
      <family val="2"/>
    </font>
    <font>
      <sz val="10"/>
      <color indexed="10"/>
      <name val="Arial"/>
    </font>
    <font>
      <sz val="10"/>
      <color indexed="10"/>
      <name val="Verdana"/>
      <family val="2"/>
    </font>
    <font>
      <i/>
      <sz val="10"/>
      <name val="Verdana"/>
      <family val="2"/>
    </font>
    <font>
      <sz val="10"/>
      <name val="Arial"/>
    </font>
    <font>
      <sz val="10"/>
      <color indexed="10"/>
      <name val="Symbol"/>
      <family val="1"/>
      <charset val="2"/>
    </font>
    <font>
      <sz val="10"/>
      <color indexed="10"/>
      <name val="Times New Roman"/>
      <family val="1"/>
    </font>
    <font>
      <sz val="12"/>
      <name val="Arial"/>
      <family val="2"/>
    </font>
    <font>
      <i/>
      <sz val="10"/>
      <name val="Arial"/>
      <family val="2"/>
    </font>
    <font>
      <sz val="8"/>
      <name val="Verdana"/>
      <family val="2"/>
    </font>
    <font>
      <u/>
      <sz val="11"/>
      <name val="Arial"/>
      <family val="2"/>
    </font>
    <font>
      <b/>
      <sz val="8"/>
      <name val="Verdana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u/>
      <sz val="14"/>
      <color indexed="10"/>
      <name val="Arial"/>
      <family val="2"/>
    </font>
    <font>
      <b/>
      <i/>
      <u/>
      <sz val="14"/>
      <color indexed="10"/>
      <name val="Arial"/>
      <family val="2"/>
    </font>
    <font>
      <b/>
      <i/>
      <u/>
      <sz val="13"/>
      <color indexed="10"/>
      <name val="Arial"/>
      <family val="2"/>
    </font>
    <font>
      <b/>
      <i/>
      <sz val="13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95">
    <xf numFmtId="0" fontId="0" fillId="0" borderId="0" xfId="0"/>
    <xf numFmtId="0" fontId="2" fillId="0" borderId="0" xfId="0" applyFont="1" applyBorder="1"/>
    <xf numFmtId="0" fontId="0" fillId="0" borderId="0" xfId="0" applyFill="1"/>
    <xf numFmtId="0" fontId="6" fillId="2" borderId="1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0" borderId="0" xfId="0" applyFont="1"/>
    <xf numFmtId="0" fontId="7" fillId="0" borderId="0" xfId="0" applyFont="1"/>
    <xf numFmtId="0" fontId="6" fillId="0" borderId="2" xfId="0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Protection="1"/>
    <xf numFmtId="3" fontId="0" fillId="0" borderId="0" xfId="0" applyNumberFormat="1"/>
    <xf numFmtId="0" fontId="0" fillId="0" borderId="0" xfId="0" applyAlignment="1">
      <alignment horizontal="center"/>
    </xf>
    <xf numFmtId="5" fontId="0" fillId="0" borderId="0" xfId="0" applyNumberFormat="1"/>
    <xf numFmtId="0" fontId="3" fillId="0" borderId="0" xfId="1" applyAlignment="1" applyProtection="1"/>
    <xf numFmtId="0" fontId="10" fillId="0" borderId="0" xfId="0" applyFont="1"/>
    <xf numFmtId="0" fontId="3" fillId="0" borderId="0" xfId="1" applyFont="1" applyAlignment="1" applyProtection="1"/>
    <xf numFmtId="0" fontId="6" fillId="2" borderId="2" xfId="0" applyFont="1" applyFill="1" applyBorder="1" applyAlignment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/>
    <xf numFmtId="0" fontId="2" fillId="3" borderId="0" xfId="0" applyFont="1" applyFill="1" applyBorder="1" applyAlignment="1">
      <alignment wrapText="1"/>
    </xf>
    <xf numFmtId="0" fontId="12" fillId="0" borderId="0" xfId="0" applyFont="1" applyBorder="1"/>
    <xf numFmtId="0" fontId="12" fillId="0" borderId="0" xfId="0" applyFont="1" applyFill="1" applyBorder="1"/>
    <xf numFmtId="0" fontId="2" fillId="4" borderId="0" xfId="0" applyFont="1" applyFill="1" applyBorder="1" applyAlignment="1">
      <alignment wrapText="1"/>
    </xf>
    <xf numFmtId="0" fontId="5" fillId="0" borderId="0" xfId="0" applyFont="1" applyFill="1" applyBorder="1"/>
    <xf numFmtId="0" fontId="13" fillId="0" borderId="0" xfId="0" applyFont="1" applyBorder="1"/>
    <xf numFmtId="0" fontId="13" fillId="0" borderId="0" xfId="0" applyFont="1"/>
    <xf numFmtId="0" fontId="2" fillId="0" borderId="5" xfId="0" applyFont="1" applyBorder="1"/>
    <xf numFmtId="0" fontId="2" fillId="0" borderId="0" xfId="0" applyFont="1"/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>
      <alignment wrapText="1"/>
    </xf>
    <xf numFmtId="0" fontId="13" fillId="0" borderId="0" xfId="0" applyFont="1" applyFill="1" applyBorder="1"/>
    <xf numFmtId="0" fontId="13" fillId="0" borderId="5" xfId="0" applyFont="1" applyBorder="1"/>
    <xf numFmtId="0" fontId="2" fillId="0" borderId="6" xfId="0" applyFont="1" applyFill="1" applyBorder="1"/>
    <xf numFmtId="0" fontId="2" fillId="0" borderId="7" xfId="0" applyFont="1" applyFill="1" applyBorder="1"/>
    <xf numFmtId="0" fontId="2" fillId="0" borderId="6" xfId="0" applyFont="1" applyFill="1" applyBorder="1" applyAlignment="1">
      <alignment wrapText="1"/>
    </xf>
    <xf numFmtId="0" fontId="6" fillId="0" borderId="8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center" vertical="top" wrapText="1"/>
    </xf>
    <xf numFmtId="0" fontId="13" fillId="0" borderId="9" xfId="0" applyFont="1" applyFill="1" applyBorder="1" applyProtection="1">
      <protection locked="0"/>
    </xf>
    <xf numFmtId="0" fontId="6" fillId="0" borderId="0" xfId="0" applyFont="1" applyFill="1" applyBorder="1" applyAlignment="1">
      <alignment vertical="top" wrapText="1"/>
    </xf>
    <xf numFmtId="0" fontId="6" fillId="0" borderId="10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top" wrapText="1"/>
    </xf>
    <xf numFmtId="0" fontId="13" fillId="0" borderId="11" xfId="0" applyFont="1" applyFill="1" applyBorder="1" applyProtection="1">
      <protection locked="0"/>
    </xf>
    <xf numFmtId="0" fontId="6" fillId="0" borderId="12" xfId="0" applyFont="1" applyFill="1" applyBorder="1" applyAlignment="1">
      <alignment horizontal="center" vertical="top" wrapText="1"/>
    </xf>
    <xf numFmtId="0" fontId="14" fillId="0" borderId="11" xfId="0" applyFont="1" applyFill="1" applyBorder="1" applyAlignment="1">
      <alignment vertical="top" wrapText="1"/>
    </xf>
    <xf numFmtId="0" fontId="6" fillId="0" borderId="13" xfId="0" applyFont="1" applyFill="1" applyBorder="1" applyAlignment="1">
      <alignment horizontal="center" vertical="top" wrapText="1"/>
    </xf>
    <xf numFmtId="0" fontId="13" fillId="0" borderId="12" xfId="0" applyFont="1" applyFill="1" applyBorder="1"/>
    <xf numFmtId="0" fontId="15" fillId="0" borderId="0" xfId="0" applyFont="1" applyFill="1" applyBorder="1"/>
    <xf numFmtId="0" fontId="13" fillId="0" borderId="11" xfId="0" applyFont="1" applyFill="1" applyBorder="1" applyAlignment="1"/>
    <xf numFmtId="0" fontId="13" fillId="0" borderId="0" xfId="0" applyFont="1" applyFill="1" applyBorder="1" applyAlignment="1"/>
    <xf numFmtId="0" fontId="6" fillId="0" borderId="14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center" vertical="top" wrapText="1"/>
    </xf>
    <xf numFmtId="0" fontId="13" fillId="0" borderId="6" xfId="0" applyFont="1" applyFill="1" applyBorder="1" applyProtection="1">
      <protection locked="0"/>
    </xf>
    <xf numFmtId="0" fontId="13" fillId="0" borderId="13" xfId="0" applyFont="1" applyFill="1" applyBorder="1"/>
    <xf numFmtId="0" fontId="13" fillId="0" borderId="15" xfId="0" applyFont="1" applyFill="1" applyBorder="1"/>
    <xf numFmtId="170" fontId="13" fillId="0" borderId="5" xfId="0" applyNumberFormat="1" applyFont="1" applyFill="1" applyBorder="1" applyAlignment="1">
      <alignment wrapText="1"/>
    </xf>
    <xf numFmtId="170" fontId="13" fillId="0" borderId="0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2" fontId="13" fillId="0" borderId="0" xfId="0" applyNumberFormat="1" applyFont="1" applyFill="1" applyBorder="1" applyAlignment="1">
      <alignment wrapText="1"/>
    </xf>
    <xf numFmtId="170" fontId="13" fillId="0" borderId="16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42" fontId="2" fillId="0" borderId="14" xfId="0" applyNumberFormat="1" applyFont="1" applyFill="1" applyBorder="1" applyAlignment="1"/>
    <xf numFmtId="0" fontId="5" fillId="5" borderId="0" xfId="0" applyFont="1" applyFill="1" applyBorder="1"/>
    <xf numFmtId="0" fontId="5" fillId="2" borderId="0" xfId="0" applyFont="1" applyFill="1" applyBorder="1"/>
    <xf numFmtId="0" fontId="5" fillId="6" borderId="0" xfId="0" applyFont="1" applyFill="1" applyBorder="1" applyProtection="1">
      <protection locked="0"/>
    </xf>
    <xf numFmtId="170" fontId="2" fillId="7" borderId="0" xfId="0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/>
    <xf numFmtId="0" fontId="5" fillId="2" borderId="12" xfId="0" applyFont="1" applyFill="1" applyBorder="1"/>
    <xf numFmtId="0" fontId="5" fillId="6" borderId="2" xfId="0" applyFont="1" applyFill="1" applyBorder="1" applyProtection="1">
      <protection locked="0"/>
    </xf>
    <xf numFmtId="0" fontId="5" fillId="2" borderId="11" xfId="0" applyFont="1" applyFill="1" applyBorder="1"/>
    <xf numFmtId="0" fontId="5" fillId="0" borderId="0" xfId="0" applyFont="1" applyFill="1" applyBorder="1" applyProtection="1"/>
    <xf numFmtId="0" fontId="5" fillId="0" borderId="0" xfId="0" applyFont="1" applyFill="1"/>
    <xf numFmtId="0" fontId="5" fillId="0" borderId="15" xfId="0" applyFont="1" applyFill="1" applyBorder="1"/>
    <xf numFmtId="0" fontId="12" fillId="0" borderId="0" xfId="0" applyFont="1"/>
    <xf numFmtId="0" fontId="12" fillId="0" borderId="17" xfId="0" applyFont="1" applyBorder="1"/>
    <xf numFmtId="0" fontId="12" fillId="0" borderId="17" xfId="0" applyFont="1" applyFill="1" applyBorder="1"/>
    <xf numFmtId="0" fontId="12" fillId="0" borderId="18" xfId="0" applyFont="1" applyFill="1" applyBorder="1"/>
    <xf numFmtId="0" fontId="13" fillId="0" borderId="0" xfId="0" applyFont="1" applyBorder="1" applyAlignment="1"/>
    <xf numFmtId="0" fontId="13" fillId="0" borderId="0" xfId="0" applyFont="1" applyAlignment="1"/>
    <xf numFmtId="0" fontId="13" fillId="2" borderId="19" xfId="0" applyFont="1" applyFill="1" applyBorder="1"/>
    <xf numFmtId="0" fontId="13" fillId="2" borderId="8" xfId="0" applyFont="1" applyFill="1" applyBorder="1"/>
    <xf numFmtId="0" fontId="13" fillId="2" borderId="20" xfId="0" applyFont="1" applyFill="1" applyBorder="1"/>
    <xf numFmtId="0" fontId="13" fillId="6" borderId="21" xfId="0" applyFont="1" applyFill="1" applyBorder="1" applyProtection="1">
      <protection locked="0"/>
    </xf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21" xfId="0" applyFont="1" applyFill="1" applyBorder="1"/>
    <xf numFmtId="0" fontId="13" fillId="6" borderId="22" xfId="0" applyFont="1" applyFill="1" applyBorder="1" applyProtection="1">
      <protection locked="0"/>
    </xf>
    <xf numFmtId="0" fontId="13" fillId="2" borderId="3" xfId="0" applyFont="1" applyFill="1" applyBorder="1"/>
    <xf numFmtId="0" fontId="13" fillId="2" borderId="4" xfId="0" applyFont="1" applyFill="1" applyBorder="1"/>
    <xf numFmtId="0" fontId="13" fillId="2" borderId="22" xfId="0" applyFont="1" applyFill="1" applyBorder="1"/>
    <xf numFmtId="170" fontId="13" fillId="2" borderId="12" xfId="0" applyNumberFormat="1" applyFont="1" applyFill="1" applyBorder="1" applyAlignment="1">
      <alignment wrapText="1"/>
    </xf>
    <xf numFmtId="0" fontId="13" fillId="0" borderId="0" xfId="0" applyFont="1" applyFill="1" applyAlignment="1"/>
    <xf numFmtId="0" fontId="13" fillId="0" borderId="20" xfId="0" applyFont="1" applyFill="1" applyBorder="1"/>
    <xf numFmtId="0" fontId="13" fillId="0" borderId="21" xfId="0" applyFont="1" applyFill="1" applyBorder="1" applyProtection="1">
      <protection locked="0"/>
    </xf>
    <xf numFmtId="0" fontId="13" fillId="0" borderId="21" xfId="0" applyFont="1" applyFill="1" applyBorder="1"/>
    <xf numFmtId="0" fontId="13" fillId="0" borderId="22" xfId="0" applyFont="1" applyFill="1" applyBorder="1"/>
    <xf numFmtId="170" fontId="13" fillId="0" borderId="12" xfId="0" applyNumberFormat="1" applyFont="1" applyFill="1" applyBorder="1" applyAlignment="1">
      <alignment wrapText="1"/>
    </xf>
    <xf numFmtId="0" fontId="13" fillId="0" borderId="0" xfId="0" applyFont="1" applyFill="1"/>
    <xf numFmtId="0" fontId="2" fillId="2" borderId="7" xfId="0" applyFont="1" applyFill="1" applyBorder="1"/>
    <xf numFmtId="0" fontId="2" fillId="2" borderId="6" xfId="0" applyFont="1" applyFill="1" applyBorder="1"/>
    <xf numFmtId="0" fontId="2" fillId="2" borderId="13" xfId="0" applyFont="1" applyFill="1" applyBorder="1"/>
    <xf numFmtId="0" fontId="6" fillId="2" borderId="8" xfId="0" applyFont="1" applyFill="1" applyBorder="1" applyAlignment="1">
      <alignment vertical="top" wrapText="1"/>
    </xf>
    <xf numFmtId="170" fontId="6" fillId="2" borderId="8" xfId="0" applyNumberFormat="1" applyFont="1" applyFill="1" applyBorder="1" applyAlignment="1">
      <alignment horizontal="center" vertical="top" wrapText="1"/>
    </xf>
    <xf numFmtId="0" fontId="6" fillId="6" borderId="8" xfId="0" applyFont="1" applyFill="1" applyBorder="1" applyAlignment="1" applyProtection="1">
      <alignment horizontal="center" vertical="top" wrapText="1"/>
      <protection locked="0"/>
    </xf>
    <xf numFmtId="0" fontId="6" fillId="2" borderId="8" xfId="0" applyFont="1" applyFill="1" applyBorder="1" applyAlignment="1">
      <alignment horizontal="center" vertical="top" wrapText="1"/>
    </xf>
    <xf numFmtId="0" fontId="13" fillId="6" borderId="20" xfId="0" applyFont="1" applyFill="1" applyBorder="1" applyProtection="1">
      <protection locked="0"/>
    </xf>
    <xf numFmtId="170" fontId="6" fillId="2" borderId="2" xfId="0" applyNumberFormat="1" applyFont="1" applyFill="1" applyBorder="1" applyAlignment="1">
      <alignment horizontal="center" vertical="top" wrapText="1"/>
    </xf>
    <xf numFmtId="0" fontId="6" fillId="6" borderId="2" xfId="0" applyFont="1" applyFill="1" applyBorder="1" applyAlignment="1" applyProtection="1">
      <alignment horizontal="center" vertical="top" wrapText="1"/>
      <protection locked="0"/>
    </xf>
    <xf numFmtId="0" fontId="6" fillId="2" borderId="14" xfId="0" applyFont="1" applyFill="1" applyBorder="1" applyAlignment="1">
      <alignment vertical="top" wrapText="1"/>
    </xf>
    <xf numFmtId="0" fontId="6" fillId="2" borderId="14" xfId="0" applyFont="1" applyFill="1" applyBorder="1" applyAlignment="1">
      <alignment horizontal="center" vertical="top" wrapText="1"/>
    </xf>
    <xf numFmtId="0" fontId="6" fillId="6" borderId="14" xfId="0" applyFont="1" applyFill="1" applyBorder="1" applyAlignment="1" applyProtection="1">
      <alignment horizontal="center" vertical="top" wrapText="1"/>
      <protection locked="0"/>
    </xf>
    <xf numFmtId="170" fontId="6" fillId="2" borderId="14" xfId="0" applyNumberFormat="1" applyFont="1" applyFill="1" applyBorder="1" applyAlignment="1">
      <alignment horizontal="center" vertical="top" wrapText="1"/>
    </xf>
    <xf numFmtId="0" fontId="6" fillId="6" borderId="6" xfId="0" applyFont="1" applyFill="1" applyBorder="1" applyAlignment="1" applyProtection="1">
      <alignment horizontal="center" vertical="top" wrapText="1"/>
      <protection locked="0"/>
    </xf>
    <xf numFmtId="2" fontId="6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6" fillId="2" borderId="13" xfId="0" applyFont="1" applyFill="1" applyBorder="1" applyAlignment="1">
      <alignment vertical="top" wrapText="1"/>
    </xf>
    <xf numFmtId="0" fontId="13" fillId="6" borderId="23" xfId="0" applyFont="1" applyFill="1" applyBorder="1" applyProtection="1">
      <protection locked="0"/>
    </xf>
    <xf numFmtId="0" fontId="13" fillId="0" borderId="2" xfId="0" applyFont="1" applyBorder="1" applyAlignment="1"/>
    <xf numFmtId="2" fontId="13" fillId="0" borderId="2" xfId="0" applyNumberFormat="1" applyFont="1" applyBorder="1" applyAlignment="1">
      <alignment horizontal="center" vertical="center"/>
    </xf>
    <xf numFmtId="0" fontId="13" fillId="0" borderId="14" xfId="0" applyFont="1" applyBorder="1" applyAlignment="1"/>
    <xf numFmtId="2" fontId="13" fillId="0" borderId="14" xfId="0" applyNumberFormat="1" applyFont="1" applyBorder="1" applyAlignment="1">
      <alignment horizontal="center" vertical="center"/>
    </xf>
    <xf numFmtId="0" fontId="13" fillId="2" borderId="14" xfId="0" applyFont="1" applyFill="1" applyBorder="1"/>
    <xf numFmtId="0" fontId="12" fillId="0" borderId="0" xfId="0" applyFont="1" applyBorder="1" applyAlignment="1"/>
    <xf numFmtId="0" fontId="12" fillId="0" borderId="0" xfId="0" applyFont="1" applyFill="1" applyAlignment="1"/>
    <xf numFmtId="0" fontId="12" fillId="0" borderId="0" xfId="0" applyFont="1" applyAlignment="1"/>
    <xf numFmtId="0" fontId="5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5" fillId="4" borderId="0" xfId="0" applyFont="1" applyFill="1" applyBorder="1" applyProtection="1">
      <protection locked="0"/>
    </xf>
    <xf numFmtId="0" fontId="5" fillId="5" borderId="0" xfId="0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5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0" fontId="12" fillId="0" borderId="0" xfId="0" applyFont="1" applyBorder="1" applyProtection="1"/>
    <xf numFmtId="0" fontId="5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0" fontId="2" fillId="4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wrapText="1"/>
    </xf>
    <xf numFmtId="0" fontId="5" fillId="5" borderId="0" xfId="0" applyFont="1" applyFill="1" applyBorder="1" applyProtection="1"/>
    <xf numFmtId="0" fontId="5" fillId="2" borderId="0" xfId="0" applyFont="1" applyFill="1" applyBorder="1" applyProtection="1"/>
    <xf numFmtId="0" fontId="5" fillId="6" borderId="0" xfId="0" applyFont="1" applyFill="1" applyBorder="1" applyProtection="1"/>
    <xf numFmtId="170" fontId="2" fillId="7" borderId="0" xfId="0" applyNumberFormat="1" applyFont="1" applyFill="1" applyBorder="1" applyAlignment="1" applyProtection="1">
      <alignment horizontal="center" wrapText="1"/>
    </xf>
    <xf numFmtId="0" fontId="5" fillId="0" borderId="0" xfId="0" applyFont="1" applyBorder="1" applyAlignment="1" applyProtection="1">
      <alignment wrapText="1"/>
    </xf>
    <xf numFmtId="0" fontId="2" fillId="0" borderId="0" xfId="0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13" fillId="2" borderId="9" xfId="0" applyFont="1" applyFill="1" applyBorder="1"/>
    <xf numFmtId="0" fontId="6" fillId="2" borderId="11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 wrapText="1"/>
    </xf>
    <xf numFmtId="0" fontId="2" fillId="0" borderId="15" xfId="0" applyFont="1" applyFill="1" applyBorder="1"/>
    <xf numFmtId="0" fontId="2" fillId="2" borderId="25" xfId="0" applyFont="1" applyFill="1" applyBorder="1"/>
    <xf numFmtId="0" fontId="2" fillId="4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13" fillId="2" borderId="26" xfId="0" applyFont="1" applyFill="1" applyBorder="1"/>
    <xf numFmtId="0" fontId="13" fillId="2" borderId="27" xfId="0" applyFont="1" applyFill="1" applyBorder="1"/>
    <xf numFmtId="0" fontId="13" fillId="2" borderId="28" xfId="0" applyFont="1" applyFill="1" applyBorder="1"/>
    <xf numFmtId="0" fontId="13" fillId="2" borderId="29" xfId="0" applyFont="1" applyFill="1" applyBorder="1"/>
    <xf numFmtId="0" fontId="13" fillId="0" borderId="29" xfId="0" applyFont="1" applyFill="1" applyBorder="1"/>
    <xf numFmtId="0" fontId="6" fillId="0" borderId="30" xfId="0" applyFont="1" applyFill="1" applyBorder="1" applyAlignment="1">
      <alignment horizontal="center" vertical="top" wrapText="1"/>
    </xf>
    <xf numFmtId="0" fontId="6" fillId="0" borderId="31" xfId="0" applyFont="1" applyFill="1" applyBorder="1" applyAlignment="1">
      <alignment vertical="top" wrapText="1"/>
    </xf>
    <xf numFmtId="3" fontId="6" fillId="0" borderId="30" xfId="0" applyNumberFormat="1" applyFont="1" applyFill="1" applyBorder="1" applyAlignment="1">
      <alignment horizontal="center" vertical="top" wrapText="1"/>
    </xf>
    <xf numFmtId="3" fontId="6" fillId="0" borderId="30" xfId="0" applyNumberFormat="1" applyFont="1" applyFill="1" applyBorder="1" applyAlignment="1">
      <alignment horizontal="center" wrapText="1"/>
    </xf>
    <xf numFmtId="0" fontId="2" fillId="0" borderId="11" xfId="0" applyFont="1" applyFill="1" applyBorder="1" applyAlignment="1"/>
    <xf numFmtId="0" fontId="11" fillId="3" borderId="2" xfId="0" applyFont="1" applyFill="1" applyBorder="1"/>
    <xf numFmtId="0" fontId="11" fillId="0" borderId="0" xfId="0" applyFont="1" applyFill="1" applyBorder="1"/>
    <xf numFmtId="0" fontId="2" fillId="6" borderId="2" xfId="0" applyFont="1" applyFill="1" applyBorder="1" applyAlignment="1" applyProtection="1">
      <alignment horizontal="center"/>
      <protection locked="0"/>
    </xf>
    <xf numFmtId="0" fontId="2" fillId="6" borderId="2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2" fillId="6" borderId="2" xfId="0" applyFont="1" applyFill="1" applyBorder="1" applyProtection="1">
      <protection locked="0"/>
    </xf>
    <xf numFmtId="170" fontId="2" fillId="2" borderId="0" xfId="0" applyNumberFormat="1" applyFont="1" applyFill="1" applyBorder="1"/>
    <xf numFmtId="49" fontId="17" fillId="0" borderId="0" xfId="0" applyNumberFormat="1" applyFont="1" applyBorder="1" applyAlignment="1">
      <alignment wrapText="1"/>
    </xf>
    <xf numFmtId="0" fontId="18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/>
    <xf numFmtId="0" fontId="5" fillId="6" borderId="32" xfId="0" applyFont="1" applyFill="1" applyBorder="1" applyProtection="1">
      <protection locked="0"/>
    </xf>
    <xf numFmtId="0" fontId="1" fillId="0" borderId="0" xfId="0" applyFont="1"/>
    <xf numFmtId="0" fontId="1" fillId="0" borderId="0" xfId="0" applyFont="1" applyAlignment="1"/>
    <xf numFmtId="0" fontId="13" fillId="0" borderId="33" xfId="0" applyFont="1" applyFill="1" applyBorder="1"/>
    <xf numFmtId="0" fontId="13" fillId="6" borderId="33" xfId="0" applyFont="1" applyFill="1" applyBorder="1" applyProtection="1"/>
    <xf numFmtId="0" fontId="13" fillId="0" borderId="34" xfId="0" applyFont="1" applyFill="1" applyBorder="1"/>
    <xf numFmtId="165" fontId="13" fillId="0" borderId="0" xfId="0" applyNumberFormat="1" applyFont="1"/>
    <xf numFmtId="0" fontId="20" fillId="0" borderId="2" xfId="0" applyFont="1" applyFill="1" applyBorder="1"/>
    <xf numFmtId="0" fontId="13" fillId="0" borderId="35" xfId="0" applyFont="1" applyFill="1" applyBorder="1" applyAlignment="1">
      <alignment horizontal="right"/>
    </xf>
    <xf numFmtId="0" fontId="13" fillId="0" borderId="2" xfId="0" applyFont="1" applyFill="1" applyBorder="1"/>
    <xf numFmtId="0" fontId="20" fillId="0" borderId="0" xfId="0" applyFont="1"/>
    <xf numFmtId="0" fontId="21" fillId="0" borderId="0" xfId="0" applyFont="1" applyAlignment="1"/>
    <xf numFmtId="0" fontId="21" fillId="0" borderId="0" xfId="0" applyFont="1"/>
    <xf numFmtId="165" fontId="21" fillId="0" borderId="0" xfId="0" applyNumberFormat="1" applyFont="1"/>
    <xf numFmtId="165" fontId="13" fillId="0" borderId="2" xfId="0" applyNumberFormat="1" applyFont="1" applyFill="1" applyBorder="1"/>
    <xf numFmtId="165" fontId="13" fillId="0" borderId="0" xfId="0" applyNumberFormat="1" applyFont="1" applyAlignment="1">
      <alignment horizontal="center"/>
    </xf>
    <xf numFmtId="165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left" indent="2"/>
    </xf>
    <xf numFmtId="165" fontId="13" fillId="4" borderId="0" xfId="0" applyNumberFormat="1" applyFont="1" applyFill="1" applyBorder="1"/>
    <xf numFmtId="0" fontId="13" fillId="6" borderId="33" xfId="0" applyFont="1" applyFill="1" applyBorder="1" applyAlignment="1" applyProtection="1">
      <alignment horizontal="right"/>
      <protection locked="0"/>
    </xf>
    <xf numFmtId="0" fontId="13" fillId="4" borderId="0" xfId="0" applyNumberFormat="1" applyFont="1" applyFill="1" applyBorder="1"/>
    <xf numFmtId="0" fontId="6" fillId="0" borderId="0" xfId="0" applyFont="1" applyFill="1" applyBorder="1" applyAlignment="1">
      <alignment horizontal="center" vertical="top" wrapText="1"/>
    </xf>
    <xf numFmtId="3" fontId="6" fillId="0" borderId="0" xfId="0" applyNumberFormat="1" applyFont="1" applyFill="1" applyBorder="1" applyAlignment="1">
      <alignment horizontal="center" wrapText="1"/>
    </xf>
    <xf numFmtId="0" fontId="13" fillId="6" borderId="0" xfId="0" applyFont="1" applyFill="1" applyBorder="1" applyProtection="1">
      <protection locked="0"/>
    </xf>
    <xf numFmtId="165" fontId="13" fillId="0" borderId="0" xfId="0" applyNumberFormat="1" applyFont="1" applyFill="1" applyBorder="1"/>
    <xf numFmtId="170" fontId="2" fillId="0" borderId="0" xfId="0" applyNumberFormat="1" applyFont="1" applyFill="1" applyBorder="1" applyAlignment="1">
      <alignment horizontal="center" wrapText="1"/>
    </xf>
    <xf numFmtId="0" fontId="13" fillId="6" borderId="34" xfId="0" applyFont="1" applyFill="1" applyBorder="1" applyAlignment="1" applyProtection="1">
      <alignment horizontal="right"/>
      <protection locked="0"/>
    </xf>
    <xf numFmtId="0" fontId="13" fillId="0" borderId="36" xfId="0" applyFont="1" applyFill="1" applyBorder="1"/>
    <xf numFmtId="170" fontId="2" fillId="4" borderId="0" xfId="0" applyNumberFormat="1" applyFont="1" applyFill="1" applyBorder="1" applyAlignment="1">
      <alignment horizontal="center" wrapText="1"/>
    </xf>
    <xf numFmtId="0" fontId="13" fillId="4" borderId="33" xfId="0" applyFont="1" applyFill="1" applyBorder="1" applyAlignment="1" applyProtection="1">
      <alignment horizontal="center"/>
    </xf>
    <xf numFmtId="0" fontId="7" fillId="6" borderId="35" xfId="0" applyFont="1" applyFill="1" applyBorder="1" applyAlignment="1">
      <alignment horizontal="center" vertical="top" wrapText="1"/>
    </xf>
    <xf numFmtId="0" fontId="7" fillId="6" borderId="37" xfId="0" applyFont="1" applyFill="1" applyBorder="1" applyAlignment="1">
      <alignment vertical="top" wrapText="1"/>
    </xf>
    <xf numFmtId="0" fontId="2" fillId="6" borderId="38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165" fontId="13" fillId="4" borderId="33" xfId="0" applyNumberFormat="1" applyFont="1" applyFill="1" applyBorder="1"/>
    <xf numFmtId="0" fontId="9" fillId="3" borderId="11" xfId="0" applyFont="1" applyFill="1" applyBorder="1"/>
    <xf numFmtId="0" fontId="24" fillId="3" borderId="12" xfId="0" applyFont="1" applyFill="1" applyBorder="1" applyAlignment="1"/>
    <xf numFmtId="174" fontId="5" fillId="0" borderId="0" xfId="0" applyNumberFormat="1" applyFont="1" applyFill="1" applyBorder="1"/>
    <xf numFmtId="174" fontId="5" fillId="0" borderId="0" xfId="0" applyNumberFormat="1" applyFont="1" applyBorder="1"/>
    <xf numFmtId="7" fontId="0" fillId="4" borderId="39" xfId="0" applyNumberFormat="1" applyFill="1" applyBorder="1"/>
    <xf numFmtId="7" fontId="0" fillId="0" borderId="0" xfId="0" applyNumberFormat="1"/>
    <xf numFmtId="174" fontId="13" fillId="4" borderId="33" xfId="0" applyNumberFormat="1" applyFont="1" applyFill="1" applyBorder="1" applyProtection="1">
      <protection locked="0"/>
    </xf>
    <xf numFmtId="174" fontId="13" fillId="4" borderId="33" xfId="0" applyNumberFormat="1" applyFont="1" applyFill="1" applyBorder="1" applyAlignment="1">
      <alignment horizontal="right"/>
    </xf>
    <xf numFmtId="174" fontId="13" fillId="4" borderId="33" xfId="0" applyNumberFormat="1" applyFont="1" applyFill="1" applyBorder="1"/>
    <xf numFmtId="174" fontId="13" fillId="4" borderId="34" xfId="0" applyNumberFormat="1" applyFont="1" applyFill="1" applyBorder="1"/>
    <xf numFmtId="174" fontId="13" fillId="4" borderId="35" xfId="0" applyNumberFormat="1" applyFont="1" applyFill="1" applyBorder="1"/>
    <xf numFmtId="0" fontId="0" fillId="0" borderId="0" xfId="0" applyFill="1" applyBorder="1" applyAlignment="1">
      <alignment horizontal="center"/>
    </xf>
    <xf numFmtId="4" fontId="0" fillId="0" borderId="0" xfId="0" applyNumberFormat="1" applyFill="1" applyBorder="1" applyAlignment="1" applyProtection="1">
      <alignment horizontal="right"/>
    </xf>
    <xf numFmtId="174" fontId="0" fillId="0" borderId="0" xfId="0" applyNumberFormat="1" applyFill="1" applyBorder="1" applyAlignment="1" applyProtection="1">
      <alignment horizontal="right"/>
    </xf>
    <xf numFmtId="7" fontId="0" fillId="0" borderId="0" xfId="0" applyNumberFormat="1" applyFill="1" applyBorder="1" applyProtection="1"/>
    <xf numFmtId="3" fontId="0" fillId="6" borderId="40" xfId="0" applyNumberFormat="1" applyFill="1" applyBorder="1" applyAlignment="1">
      <alignment horizontal="center"/>
    </xf>
    <xf numFmtId="4" fontId="0" fillId="4" borderId="41" xfId="0" applyNumberFormat="1" applyFill="1" applyBorder="1" applyAlignment="1" applyProtection="1">
      <alignment horizontal="right"/>
    </xf>
    <xf numFmtId="4" fontId="0" fillId="4" borderId="41" xfId="0" applyNumberFormat="1" applyFill="1" applyBorder="1" applyProtection="1"/>
    <xf numFmtId="7" fontId="0" fillId="4" borderId="34" xfId="0" applyNumberFormat="1" applyFill="1" applyBorder="1" applyProtection="1"/>
    <xf numFmtId="0" fontId="0" fillId="0" borderId="6" xfId="0" applyBorder="1"/>
    <xf numFmtId="0" fontId="0" fillId="0" borderId="7" xfId="0" applyBorder="1"/>
    <xf numFmtId="0" fontId="25" fillId="0" borderId="15" xfId="0" applyFont="1" applyBorder="1"/>
    <xf numFmtId="0" fontId="25" fillId="0" borderId="0" xfId="0" applyFont="1" applyBorder="1"/>
    <xf numFmtId="42" fontId="25" fillId="0" borderId="25" xfId="0" applyNumberFormat="1" applyFont="1" applyBorder="1"/>
    <xf numFmtId="0" fontId="0" fillId="0" borderId="15" xfId="0" applyBorder="1"/>
    <xf numFmtId="0" fontId="0" fillId="0" borderId="0" xfId="0" applyBorder="1"/>
    <xf numFmtId="42" fontId="0" fillId="0" borderId="0" xfId="0" applyNumberFormat="1" applyBorder="1"/>
    <xf numFmtId="0" fontId="0" fillId="0" borderId="0" xfId="0" applyFill="1" applyBorder="1"/>
    <xf numFmtId="0" fontId="0" fillId="0" borderId="28" xfId="0" applyBorder="1"/>
    <xf numFmtId="0" fontId="0" fillId="0" borderId="42" xfId="0" applyBorder="1"/>
    <xf numFmtId="0" fontId="2" fillId="0" borderId="2" xfId="0" applyFont="1" applyBorder="1"/>
    <xf numFmtId="0" fontId="0" fillId="0" borderId="2" xfId="0" applyBorder="1"/>
    <xf numFmtId="0" fontId="25" fillId="0" borderId="0" xfId="0" applyFont="1"/>
    <xf numFmtId="0" fontId="0" fillId="0" borderId="2" xfId="0" applyBorder="1" applyAlignment="1">
      <alignment horizontal="center"/>
    </xf>
    <xf numFmtId="0" fontId="2" fillId="0" borderId="14" xfId="0" applyFon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14" xfId="0" applyNumberFormat="1" applyBorder="1"/>
    <xf numFmtId="3" fontId="0" fillId="0" borderId="13" xfId="0" applyNumberFormat="1" applyBorder="1"/>
    <xf numFmtId="0" fontId="0" fillId="0" borderId="43" xfId="0" applyBorder="1"/>
    <xf numFmtId="42" fontId="0" fillId="0" borderId="43" xfId="0" applyNumberFormat="1" applyBorder="1"/>
    <xf numFmtId="42" fontId="0" fillId="0" borderId="44" xfId="0" applyNumberFormat="1" applyBorder="1"/>
    <xf numFmtId="42" fontId="2" fillId="0" borderId="12" xfId="0" applyNumberFormat="1" applyFont="1" applyBorder="1"/>
    <xf numFmtId="42" fontId="0" fillId="0" borderId="7" xfId="0" applyNumberFormat="1" applyBorder="1"/>
    <xf numFmtId="42" fontId="2" fillId="0" borderId="13" xfId="0" applyNumberFormat="1" applyFont="1" applyBorder="1"/>
    <xf numFmtId="175" fontId="0" fillId="0" borderId="0" xfId="0" applyNumberFormat="1"/>
    <xf numFmtId="42" fontId="0" fillId="0" borderId="0" xfId="0" applyNumberFormat="1"/>
    <xf numFmtId="164" fontId="0" fillId="0" borderId="0" xfId="0" applyNumberFormat="1"/>
    <xf numFmtId="0" fontId="6" fillId="0" borderId="31" xfId="0" applyFont="1" applyBorder="1" applyAlignment="1">
      <alignment horizontal="center" vertical="top" wrapText="1"/>
    </xf>
    <xf numFmtId="49" fontId="6" fillId="0" borderId="31" xfId="0" applyNumberFormat="1" applyFont="1" applyBorder="1" applyAlignment="1">
      <alignment horizontal="left" vertical="top" wrapText="1"/>
    </xf>
    <xf numFmtId="49" fontId="6" fillId="0" borderId="37" xfId="0" applyNumberFormat="1" applyFont="1" applyBorder="1" applyAlignment="1">
      <alignment horizontal="left" vertical="top" wrapText="1"/>
    </xf>
    <xf numFmtId="0" fontId="7" fillId="3" borderId="45" xfId="0" applyFont="1" applyFill="1" applyBorder="1" applyAlignment="1">
      <alignment horizontal="justify" vertical="top" wrapText="1"/>
    </xf>
    <xf numFmtId="0" fontId="6" fillId="0" borderId="30" xfId="0" applyFont="1" applyBorder="1" applyAlignment="1">
      <alignment horizontal="justify" vertical="top" wrapText="1"/>
    </xf>
    <xf numFmtId="0" fontId="6" fillId="0" borderId="31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top" wrapText="1"/>
    </xf>
    <xf numFmtId="0" fontId="5" fillId="2" borderId="7" xfId="0" applyFont="1" applyFill="1" applyBorder="1"/>
    <xf numFmtId="0" fontId="6" fillId="0" borderId="46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7" fillId="3" borderId="47" xfId="0" applyFont="1" applyFill="1" applyBorder="1" applyAlignment="1">
      <alignment horizontal="justify" vertical="top" wrapText="1"/>
    </xf>
    <xf numFmtId="0" fontId="7" fillId="0" borderId="48" xfId="0" applyFont="1" applyBorder="1" applyAlignment="1">
      <alignment horizontal="justify" vertical="top" wrapText="1"/>
    </xf>
    <xf numFmtId="0" fontId="7" fillId="0" borderId="49" xfId="0" applyFont="1" applyBorder="1" applyAlignment="1">
      <alignment horizontal="justify" vertical="top" wrapText="1"/>
    </xf>
    <xf numFmtId="0" fontId="7" fillId="0" borderId="37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justify" vertical="top" wrapText="1"/>
    </xf>
    <xf numFmtId="0" fontId="0" fillId="0" borderId="0" xfId="0" applyBorder="1" applyAlignment="1">
      <alignment wrapText="1"/>
    </xf>
    <xf numFmtId="0" fontId="0" fillId="3" borderId="0" xfId="0" applyFill="1"/>
    <xf numFmtId="0" fontId="6" fillId="0" borderId="0" xfId="0" applyFont="1" applyBorder="1" applyAlignment="1">
      <alignment horizontal="center" vertical="top" wrapText="1"/>
    </xf>
    <xf numFmtId="0" fontId="5" fillId="2" borderId="50" xfId="0" applyFont="1" applyFill="1" applyBorder="1"/>
    <xf numFmtId="0" fontId="0" fillId="0" borderId="17" xfId="0" applyBorder="1"/>
    <xf numFmtId="0" fontId="5" fillId="2" borderId="18" xfId="0" applyFont="1" applyFill="1" applyBorder="1"/>
    <xf numFmtId="0" fontId="0" fillId="2" borderId="5" xfId="0" applyFill="1" applyBorder="1"/>
    <xf numFmtId="0" fontId="5" fillId="2" borderId="16" xfId="0" applyFont="1" applyFill="1" applyBorder="1"/>
    <xf numFmtId="0" fontId="6" fillId="0" borderId="16" xfId="0" applyFont="1" applyBorder="1" applyAlignment="1">
      <alignment horizontal="center" vertical="top" wrapText="1"/>
    </xf>
    <xf numFmtId="0" fontId="6" fillId="0" borderId="51" xfId="0" applyFont="1" applyBorder="1" applyAlignment="1">
      <alignment horizontal="justify" vertical="top" wrapText="1"/>
    </xf>
    <xf numFmtId="0" fontId="6" fillId="0" borderId="36" xfId="0" applyFont="1" applyBorder="1" applyAlignment="1">
      <alignment horizontal="justify" vertical="top" wrapText="1"/>
    </xf>
    <xf numFmtId="0" fontId="5" fillId="2" borderId="50" xfId="0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6" fillId="0" borderId="16" xfId="0" applyFont="1" applyBorder="1" applyAlignment="1">
      <alignment horizontal="justify" vertical="top" wrapText="1"/>
    </xf>
    <xf numFmtId="0" fontId="0" fillId="2" borderId="17" xfId="0" applyFill="1" applyBorder="1"/>
    <xf numFmtId="42" fontId="0" fillId="0" borderId="0" xfId="0" applyNumberFormat="1" applyFill="1"/>
    <xf numFmtId="0" fontId="0" fillId="0" borderId="11" xfId="0" applyBorder="1"/>
    <xf numFmtId="0" fontId="0" fillId="0" borderId="44" xfId="0" applyBorder="1"/>
    <xf numFmtId="0" fontId="0" fillId="0" borderId="12" xfId="0" applyBorder="1"/>
    <xf numFmtId="0" fontId="0" fillId="0" borderId="0" xfId="0" applyFill="1" applyBorder="1" applyAlignment="1">
      <alignment wrapText="1"/>
    </xf>
    <xf numFmtId="0" fontId="7" fillId="0" borderId="0" xfId="0" applyFont="1" applyBorder="1" applyAlignment="1">
      <alignment horizontal="justify" vertical="top" wrapText="1"/>
    </xf>
    <xf numFmtId="0" fontId="0" fillId="0" borderId="30" xfId="0" applyBorder="1"/>
    <xf numFmtId="0" fontId="0" fillId="0" borderId="0" xfId="0" applyAlignment="1"/>
    <xf numFmtId="0" fontId="2" fillId="0" borderId="0" xfId="0" applyFont="1" applyAlignment="1">
      <alignment horizontal="right"/>
    </xf>
    <xf numFmtId="165" fontId="2" fillId="0" borderId="0" xfId="0" applyNumberFormat="1" applyFont="1" applyFill="1" applyBorder="1" applyAlignment="1">
      <alignment horizontal="center"/>
    </xf>
    <xf numFmtId="174" fontId="2" fillId="0" borderId="0" xfId="0" applyNumberFormat="1" applyFont="1" applyFill="1" applyBorder="1" applyAlignment="1">
      <alignment horizontal="right"/>
    </xf>
    <xf numFmtId="0" fontId="11" fillId="3" borderId="52" xfId="0" applyFont="1" applyFill="1" applyBorder="1"/>
    <xf numFmtId="0" fontId="0" fillId="3" borderId="37" xfId="0" applyFill="1" applyBorder="1"/>
    <xf numFmtId="0" fontId="12" fillId="3" borderId="37" xfId="0" applyFont="1" applyFill="1" applyBorder="1"/>
    <xf numFmtId="0" fontId="11" fillId="3" borderId="48" xfId="0" applyFont="1" applyFill="1" applyBorder="1"/>
    <xf numFmtId="0" fontId="5" fillId="0" borderId="0" xfId="0" applyFont="1" applyBorder="1" applyAlignment="1">
      <alignment horizontal="center"/>
    </xf>
    <xf numFmtId="165" fontId="2" fillId="3" borderId="2" xfId="0" applyNumberFormat="1" applyFont="1" applyFill="1" applyBorder="1" applyAlignment="1">
      <alignment horizontal="center"/>
    </xf>
    <xf numFmtId="174" fontId="2" fillId="4" borderId="35" xfId="0" applyNumberFormat="1" applyFont="1" applyFill="1" applyBorder="1" applyAlignment="1">
      <alignment horizontal="right"/>
    </xf>
    <xf numFmtId="174" fontId="2" fillId="4" borderId="35" xfId="0" applyNumberFormat="1" applyFont="1" applyFill="1" applyBorder="1" applyAlignment="1" applyProtection="1">
      <alignment horizontal="right"/>
    </xf>
    <xf numFmtId="0" fontId="2" fillId="0" borderId="48" xfId="0" applyFont="1" applyFill="1" applyBorder="1" applyAlignment="1" applyProtection="1">
      <alignment horizontal="left" wrapText="1"/>
    </xf>
    <xf numFmtId="0" fontId="5" fillId="0" borderId="49" xfId="0" applyFont="1" applyFill="1" applyBorder="1"/>
    <xf numFmtId="0" fontId="5" fillId="4" borderId="49" xfId="0" applyFont="1" applyFill="1" applyBorder="1"/>
    <xf numFmtId="0" fontId="5" fillId="0" borderId="37" xfId="0" applyFont="1" applyFill="1" applyBorder="1"/>
    <xf numFmtId="174" fontId="2" fillId="4" borderId="53" xfId="0" applyNumberFormat="1" applyFont="1" applyFill="1" applyBorder="1" applyAlignment="1">
      <alignment horizontal="right"/>
    </xf>
    <xf numFmtId="0" fontId="2" fillId="0" borderId="48" xfId="0" applyFont="1" applyFill="1" applyBorder="1" applyAlignment="1">
      <alignment horizontal="left" wrapText="1"/>
    </xf>
    <xf numFmtId="0" fontId="13" fillId="0" borderId="37" xfId="0" applyFont="1" applyFill="1" applyBorder="1"/>
    <xf numFmtId="0" fontId="13" fillId="0" borderId="49" xfId="0" applyFont="1" applyBorder="1"/>
    <xf numFmtId="0" fontId="2" fillId="6" borderId="12" xfId="0" applyFont="1" applyFill="1" applyBorder="1" applyAlignment="1">
      <alignment horizontal="center"/>
    </xf>
    <xf numFmtId="165" fontId="2" fillId="3" borderId="12" xfId="0" applyNumberFormat="1" applyFont="1" applyFill="1" applyBorder="1" applyAlignment="1">
      <alignment horizontal="center"/>
    </xf>
    <xf numFmtId="0" fontId="0" fillId="0" borderId="49" xfId="0" applyBorder="1"/>
    <xf numFmtId="0" fontId="0" fillId="0" borderId="50" xfId="0" applyBorder="1"/>
    <xf numFmtId="0" fontId="0" fillId="0" borderId="5" xfId="0" applyBorder="1"/>
    <xf numFmtId="0" fontId="0" fillId="0" borderId="36" xfId="0" applyBorder="1"/>
    <xf numFmtId="0" fontId="0" fillId="0" borderId="54" xfId="0" applyBorder="1"/>
    <xf numFmtId="0" fontId="2" fillId="4" borderId="28" xfId="0" applyFont="1" applyFill="1" applyBorder="1"/>
    <xf numFmtId="42" fontId="0" fillId="4" borderId="42" xfId="0" applyNumberFormat="1" applyFill="1" applyBorder="1"/>
    <xf numFmtId="42" fontId="2" fillId="4" borderId="46" xfId="0" applyNumberFormat="1" applyFont="1" applyFill="1" applyBorder="1"/>
    <xf numFmtId="0" fontId="2" fillId="0" borderId="6" xfId="0" applyFont="1" applyBorder="1"/>
    <xf numFmtId="42" fontId="0" fillId="0" borderId="42" xfId="0" applyNumberFormat="1" applyBorder="1"/>
    <xf numFmtId="42" fontId="0" fillId="0" borderId="46" xfId="0" applyNumberFormat="1" applyBorder="1"/>
    <xf numFmtId="3" fontId="0" fillId="0" borderId="2" xfId="0" applyNumberFormat="1" applyBorder="1"/>
    <xf numFmtId="42" fontId="0" fillId="0" borderId="2" xfId="0" applyNumberFormat="1" applyBorder="1"/>
    <xf numFmtId="0" fontId="8" fillId="0" borderId="15" xfId="0" applyFont="1" applyBorder="1"/>
    <xf numFmtId="0" fontId="2" fillId="0" borderId="11" xfId="0" applyFont="1" applyFill="1" applyBorder="1"/>
    <xf numFmtId="0" fontId="2" fillId="4" borderId="35" xfId="0" applyFont="1" applyFill="1" applyBorder="1" applyAlignment="1">
      <alignment horizontal="center" wrapText="1"/>
    </xf>
    <xf numFmtId="165" fontId="5" fillId="0" borderId="0" xfId="0" applyNumberFormat="1" applyFont="1" applyBorder="1" applyAlignment="1">
      <alignment horizontal="center"/>
    </xf>
    <xf numFmtId="165" fontId="5" fillId="0" borderId="25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165" fontId="0" fillId="0" borderId="42" xfId="0" applyNumberFormat="1" applyBorder="1" applyAlignment="1">
      <alignment horizontal="center"/>
    </xf>
    <xf numFmtId="165" fontId="0" fillId="0" borderId="4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6" borderId="2" xfId="0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 wrapText="1"/>
    </xf>
    <xf numFmtId="0" fontId="7" fillId="0" borderId="0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center" vertical="top" wrapText="1"/>
    </xf>
    <xf numFmtId="0" fontId="31" fillId="0" borderId="0" xfId="0" applyFont="1" applyBorder="1"/>
    <xf numFmtId="0" fontId="30" fillId="0" borderId="0" xfId="0" applyFont="1" applyBorder="1" applyAlignment="1" applyProtection="1">
      <alignment horizontal="center"/>
      <protection locked="0"/>
    </xf>
    <xf numFmtId="0" fontId="30" fillId="0" borderId="0" xfId="0" applyFont="1" applyBorder="1" applyAlignment="1">
      <alignment horizontal="center"/>
    </xf>
    <xf numFmtId="165" fontId="0" fillId="4" borderId="41" xfId="0" applyNumberFormat="1" applyFill="1" applyBorder="1" applyAlignment="1" applyProtection="1">
      <alignment horizontal="right"/>
    </xf>
    <xf numFmtId="0" fontId="32" fillId="0" borderId="0" xfId="0" applyFont="1" applyProtection="1">
      <protection locked="0"/>
    </xf>
    <xf numFmtId="0" fontId="33" fillId="0" borderId="0" xfId="0" applyFont="1" applyProtection="1">
      <protection locked="0"/>
    </xf>
    <xf numFmtId="0" fontId="34" fillId="0" borderId="0" xfId="1" applyFont="1" applyAlignment="1" applyProtection="1"/>
    <xf numFmtId="0" fontId="35" fillId="0" borderId="0" xfId="0" applyFont="1" applyFill="1"/>
    <xf numFmtId="0" fontId="35" fillId="0" borderId="0" xfId="0" applyFont="1"/>
    <xf numFmtId="0" fontId="8" fillId="6" borderId="11" xfId="0" applyFont="1" applyFill="1" applyBorder="1" applyAlignment="1">
      <alignment wrapText="1"/>
    </xf>
    <xf numFmtId="0" fontId="0" fillId="0" borderId="44" xfId="0" applyBorder="1" applyAlignment="1">
      <alignment wrapText="1"/>
    </xf>
    <xf numFmtId="0" fontId="0" fillId="0" borderId="12" xfId="0" applyBorder="1" applyAlignment="1">
      <alignment wrapText="1"/>
    </xf>
    <xf numFmtId="0" fontId="2" fillId="3" borderId="0" xfId="0" applyFont="1" applyFill="1" applyAlignment="1"/>
    <xf numFmtId="0" fontId="0" fillId="0" borderId="0" xfId="0" applyAlignment="1"/>
    <xf numFmtId="0" fontId="5" fillId="0" borderId="0" xfId="0" applyFont="1" applyBorder="1" applyAlignment="1">
      <alignment vertical="center" textRotation="90"/>
    </xf>
    <xf numFmtId="0" fontId="13" fillId="6" borderId="8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6" borderId="2" xfId="0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7" fillId="3" borderId="54" xfId="0" applyFont="1" applyFill="1" applyBorder="1" applyAlignment="1">
      <alignment horizontal="center" vertical="top" wrapText="1"/>
    </xf>
    <xf numFmtId="0" fontId="7" fillId="3" borderId="56" xfId="0" applyFont="1" applyFill="1" applyBorder="1" applyAlignment="1">
      <alignment horizontal="center" vertical="top" wrapText="1"/>
    </xf>
    <xf numFmtId="0" fontId="6" fillId="0" borderId="55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2" fillId="0" borderId="48" xfId="0" applyFont="1" applyFill="1" applyBorder="1" applyAlignment="1">
      <alignment horizontal="left" wrapText="1"/>
    </xf>
    <xf numFmtId="0" fontId="0" fillId="0" borderId="37" xfId="0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2" fillId="0" borderId="51" xfId="0" applyFont="1" applyBorder="1" applyAlignment="1">
      <alignment horizontal="left" wrapText="1"/>
    </xf>
    <xf numFmtId="0" fontId="0" fillId="0" borderId="36" xfId="0" applyBorder="1" applyAlignment="1">
      <alignment horizontal="left"/>
    </xf>
    <xf numFmtId="0" fontId="6" fillId="0" borderId="55" xfId="0" applyFont="1" applyBorder="1" applyAlignment="1">
      <alignment horizontal="justify" vertical="top" wrapText="1"/>
    </xf>
    <xf numFmtId="0" fontId="6" fillId="0" borderId="30" xfId="0" applyFont="1" applyBorder="1" applyAlignment="1">
      <alignment horizontal="justify" vertical="top" wrapText="1"/>
    </xf>
    <xf numFmtId="0" fontId="5" fillId="4" borderId="11" xfId="0" applyFont="1" applyFill="1" applyBorder="1" applyAlignment="1">
      <alignment horizontal="justify" vertical="top" wrapText="1"/>
    </xf>
    <xf numFmtId="0" fontId="5" fillId="4" borderId="12" xfId="0" applyFont="1" applyFill="1" applyBorder="1" applyAlignment="1">
      <alignment horizontal="justify" vertical="top" wrapText="1"/>
    </xf>
    <xf numFmtId="0" fontId="6" fillId="0" borderId="0" xfId="0" applyFont="1" applyAlignment="1">
      <alignment horizontal="justify"/>
    </xf>
    <xf numFmtId="0" fontId="7" fillId="3" borderId="54" xfId="0" applyFont="1" applyFill="1" applyBorder="1" applyAlignment="1">
      <alignment horizontal="justify" vertical="top" wrapText="1"/>
    </xf>
    <xf numFmtId="0" fontId="7" fillId="3" borderId="56" xfId="0" applyFont="1" applyFill="1" applyBorder="1" applyAlignment="1">
      <alignment horizontal="justify" vertical="top" wrapText="1"/>
    </xf>
    <xf numFmtId="0" fontId="19" fillId="0" borderId="0" xfId="0" applyFont="1" applyFill="1" applyBorder="1" applyAlignment="1">
      <alignment vertical="top" wrapText="1"/>
    </xf>
    <xf numFmtId="0" fontId="18" fillId="0" borderId="0" xfId="0" applyFont="1" applyAlignment="1"/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Drop" dropLines="9" dropStyle="combo" dx="16" fmlaLink="$C$10" fmlaRange="$B$27:$D$35" val="0"/>
</file>

<file path=xl/ctrlProps/ctrlProp10.xml><?xml version="1.0" encoding="utf-8"?>
<formControlPr xmlns="http://schemas.microsoft.com/office/spreadsheetml/2009/9/main" objectType="Drop" dropStyle="combo" dx="16" fmlaLink="C9" fmlaRange="$A$25:$A$32" val="0"/>
</file>

<file path=xl/ctrlProps/ctrlProp11.xml><?xml version="1.0" encoding="utf-8"?>
<formControlPr xmlns="http://schemas.microsoft.com/office/spreadsheetml/2009/9/main" objectType="Drop" dropLines="4" dropStyle="combo" dx="16" fmlaLink="C11" fmlaRange="$E$25:$E$28" val="0"/>
</file>

<file path=xl/ctrlProps/ctrlProp12.xml><?xml version="1.0" encoding="utf-8"?>
<formControlPr xmlns="http://schemas.microsoft.com/office/spreadsheetml/2009/9/main" objectType="Drop" dropLines="5" dropStyle="combo" dx="16" fmlaLink="C13" fmlaRange="$G$25:$G$29" val="0"/>
</file>

<file path=xl/ctrlProps/ctrlProp13.xml><?xml version="1.0" encoding="utf-8"?>
<formControlPr xmlns="http://schemas.microsoft.com/office/spreadsheetml/2009/9/main" objectType="Drop" dropLines="4" dropStyle="combo" dx="16" fmlaLink="$C$15" fmlaRange="$H$25:$H$28" val="0"/>
</file>

<file path=xl/ctrlProps/ctrlProp14.xml><?xml version="1.0" encoding="utf-8"?>
<formControlPr xmlns="http://schemas.microsoft.com/office/spreadsheetml/2009/9/main" objectType="Drop" dropLines="3" dropStyle="combo" dx="16" fmlaLink="C17" fmlaRange="$K$25:$K$27" val="0"/>
</file>

<file path=xl/ctrlProps/ctrlProp15.xml><?xml version="1.0" encoding="utf-8"?>
<formControlPr xmlns="http://schemas.microsoft.com/office/spreadsheetml/2009/9/main" objectType="Drop" dropLines="4" dropStyle="combo" dx="16" fmlaLink="C19" fmlaRange="$N$25:$N$28" val="0"/>
</file>

<file path=xl/ctrlProps/ctrlProp16.xml><?xml version="1.0" encoding="utf-8"?>
<formControlPr xmlns="http://schemas.microsoft.com/office/spreadsheetml/2009/9/main" objectType="Drop" dropLines="5" dropStyle="combo" dx="16" fmlaLink="C21" fmlaRange="$Q$25:$Q$29" val="0"/>
</file>

<file path=xl/ctrlProps/ctrlProp17.xml><?xml version="1.0" encoding="utf-8"?>
<formControlPr xmlns="http://schemas.microsoft.com/office/spreadsheetml/2009/9/main" objectType="Drop" dropStyle="combo" dx="16" fmlaLink="C8" fmlaRange="B14:B21" val="0"/>
</file>

<file path=xl/ctrlProps/ctrlProp18.xml><?xml version="1.0" encoding="utf-8"?>
<formControlPr xmlns="http://schemas.microsoft.com/office/spreadsheetml/2009/9/main" objectType="Drop" dropLines="3" dropStyle="combo" dx="16" fmlaLink="C10" fmlaRange="F14:F16" val="0"/>
</file>

<file path=xl/ctrlProps/ctrlProp19.xml><?xml version="1.0" encoding="utf-8"?>
<formControlPr xmlns="http://schemas.microsoft.com/office/spreadsheetml/2009/9/main" objectType="Drop" dropLines="4" dropStyle="combo" dx="16" fmlaLink="#REF!" fmlaRange="#REF!" sel="0" val="0"/>
</file>

<file path=xl/ctrlProps/ctrlProp2.xml><?xml version="1.0" encoding="utf-8"?>
<formControlPr xmlns="http://schemas.microsoft.com/office/spreadsheetml/2009/9/main" objectType="Drop" dropStyle="combo" dx="16" fmlaLink="$C$12" fmlaRange="$F$27:$F$34" val="0"/>
</file>

<file path=xl/ctrlProps/ctrlProp20.xml><?xml version="1.0" encoding="utf-8"?>
<formControlPr xmlns="http://schemas.microsoft.com/office/spreadsheetml/2009/9/main" objectType="Drop" dropLines="3" dropStyle="combo" dx="16" fmlaLink="#REF!" fmlaRange="#REF!" sel="0" val="0"/>
</file>

<file path=xl/ctrlProps/ctrlProp21.xml><?xml version="1.0" encoding="utf-8"?>
<formControlPr xmlns="http://schemas.microsoft.com/office/spreadsheetml/2009/9/main" objectType="Drop" dropLines="5" dropStyle="combo" dx="16" fmlaLink="C12" fmlaRange="I14:I18" val="0"/>
</file>

<file path=xl/ctrlProps/ctrlProp22.xml><?xml version="1.0" encoding="utf-8"?>
<formControlPr xmlns="http://schemas.microsoft.com/office/spreadsheetml/2009/9/main" objectType="Drop" dropLines="5" dropStyle="combo" dx="16" fmlaLink="C10" fmlaRange="$B$40:$B$44" val="0"/>
</file>

<file path=xl/ctrlProps/ctrlProp23.xml><?xml version="1.0" encoding="utf-8"?>
<formControlPr xmlns="http://schemas.microsoft.com/office/spreadsheetml/2009/9/main" objectType="Drop" dropLines="4" dropStyle="combo" dx="16" fmlaLink="C12" fmlaRange="$F$40:$F$43" val="0"/>
</file>

<file path=xl/ctrlProps/ctrlProp24.xml><?xml version="1.0" encoding="utf-8"?>
<formControlPr xmlns="http://schemas.microsoft.com/office/spreadsheetml/2009/9/main" objectType="Drop" dropLines="3" dropStyle="combo" dx="16" fmlaLink="C14" fmlaRange="$I$40:$I$42" val="0"/>
</file>

<file path=xl/ctrlProps/ctrlProp3.xml><?xml version="1.0" encoding="utf-8"?>
<formControlPr xmlns="http://schemas.microsoft.com/office/spreadsheetml/2009/9/main" objectType="Drop" dropLines="5" dropStyle="combo" dx="16" fmlaLink="C14" fmlaRange="$I$27:$I$31" val="0"/>
</file>

<file path=xl/ctrlProps/ctrlProp4.xml><?xml version="1.0" encoding="utf-8"?>
<formControlPr xmlns="http://schemas.microsoft.com/office/spreadsheetml/2009/9/main" objectType="Drop" dropLines="5" dropStyle="combo" dx="16" fmlaLink="C16" fmlaRange="$L$27:$L$31" val="0"/>
</file>

<file path=xl/ctrlProps/ctrlProp5.xml><?xml version="1.0" encoding="utf-8"?>
<formControlPr xmlns="http://schemas.microsoft.com/office/spreadsheetml/2009/9/main" objectType="Drop" dropLines="5" dropStyle="combo" dx="16" fmlaLink="C16" fmlaRange="$L$27:$L$31" val="0"/>
</file>

<file path=xl/ctrlProps/ctrlProp6.xml><?xml version="1.0" encoding="utf-8"?>
<formControlPr xmlns="http://schemas.microsoft.com/office/spreadsheetml/2009/9/main" objectType="Drop" dropStyle="combo" dx="16" fmlaLink="C18" fmlaRange="$O$27:$O$34" val="0"/>
</file>

<file path=xl/ctrlProps/ctrlProp7.xml><?xml version="1.0" encoding="utf-8"?>
<formControlPr xmlns="http://schemas.microsoft.com/office/spreadsheetml/2009/9/main" objectType="Drop" dropLines="4" dropStyle="combo" dx="16" fmlaLink="$C$10" fmlaRange="$B$24:$B$27" val="0"/>
</file>

<file path=xl/ctrlProps/ctrlProp8.xml><?xml version="1.0" encoding="utf-8"?>
<formControlPr xmlns="http://schemas.microsoft.com/office/spreadsheetml/2009/9/main" objectType="Drop" dropLines="2" dropStyle="combo" dx="16" fmlaLink="C13" fmlaRange="$F$24:$F$25" val="0"/>
</file>

<file path=xl/ctrlProps/ctrlProp9.xml><?xml version="1.0" encoding="utf-8"?>
<formControlPr xmlns="http://schemas.microsoft.com/office/spreadsheetml/2009/9/main" objectType="Drop" dropLines="2" dropStyle="combo" dx="16" fmlaLink="C16" fmlaRange="I24:I25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47625</xdr:rowOff>
        </xdr:from>
        <xdr:to>
          <xdr:col>1</xdr:col>
          <xdr:colOff>2705100</xdr:colOff>
          <xdr:row>9</xdr:row>
          <xdr:rowOff>295275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47625</xdr:rowOff>
        </xdr:from>
        <xdr:to>
          <xdr:col>1</xdr:col>
          <xdr:colOff>2695575</xdr:colOff>
          <xdr:row>12</xdr:row>
          <xdr:rowOff>9525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47625</xdr:rowOff>
        </xdr:from>
        <xdr:to>
          <xdr:col>1</xdr:col>
          <xdr:colOff>2695575</xdr:colOff>
          <xdr:row>13</xdr:row>
          <xdr:rowOff>295275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47625</xdr:rowOff>
        </xdr:from>
        <xdr:to>
          <xdr:col>1</xdr:col>
          <xdr:colOff>2695575</xdr:colOff>
          <xdr:row>15</xdr:row>
          <xdr:rowOff>295275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47625</xdr:rowOff>
        </xdr:from>
        <xdr:to>
          <xdr:col>1</xdr:col>
          <xdr:colOff>2695575</xdr:colOff>
          <xdr:row>17</xdr:row>
          <xdr:rowOff>295275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47625</xdr:rowOff>
        </xdr:from>
        <xdr:to>
          <xdr:col>1</xdr:col>
          <xdr:colOff>2695575</xdr:colOff>
          <xdr:row>17</xdr:row>
          <xdr:rowOff>295275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9</xdr:row>
          <xdr:rowOff>0</xdr:rowOff>
        </xdr:from>
        <xdr:to>
          <xdr:col>3</xdr:col>
          <xdr:colOff>9525</xdr:colOff>
          <xdr:row>10</xdr:row>
          <xdr:rowOff>19050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12</xdr:row>
          <xdr:rowOff>0</xdr:rowOff>
        </xdr:from>
        <xdr:to>
          <xdr:col>3</xdr:col>
          <xdr:colOff>19050</xdr:colOff>
          <xdr:row>13</xdr:row>
          <xdr:rowOff>19050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0</xdr:rowOff>
        </xdr:from>
        <xdr:to>
          <xdr:col>3</xdr:col>
          <xdr:colOff>19050</xdr:colOff>
          <xdr:row>16</xdr:row>
          <xdr:rowOff>0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47625</xdr:rowOff>
        </xdr:from>
        <xdr:to>
          <xdr:col>1</xdr:col>
          <xdr:colOff>3848100</xdr:colOff>
          <xdr:row>9</xdr:row>
          <xdr:rowOff>19050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47625</xdr:rowOff>
        </xdr:from>
        <xdr:to>
          <xdr:col>1</xdr:col>
          <xdr:colOff>3848100</xdr:colOff>
          <xdr:row>11</xdr:row>
          <xdr:rowOff>19050</xdr:rowOff>
        </xdr:to>
        <xdr:sp macro="" textlink="">
          <xdr:nvSpPr>
            <xdr:cNvPr id="3081" name="Drop Down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47625</xdr:rowOff>
        </xdr:from>
        <xdr:to>
          <xdr:col>1</xdr:col>
          <xdr:colOff>3848100</xdr:colOff>
          <xdr:row>12</xdr:row>
          <xdr:rowOff>295275</xdr:rowOff>
        </xdr:to>
        <xdr:sp macro="" textlink="">
          <xdr:nvSpPr>
            <xdr:cNvPr id="3082" name="Drop Down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47625</xdr:rowOff>
        </xdr:from>
        <xdr:to>
          <xdr:col>1</xdr:col>
          <xdr:colOff>3848100</xdr:colOff>
          <xdr:row>14</xdr:row>
          <xdr:rowOff>295275</xdr:rowOff>
        </xdr:to>
        <xdr:sp macro="" textlink="">
          <xdr:nvSpPr>
            <xdr:cNvPr id="3083" name="Drop Down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47625</xdr:rowOff>
        </xdr:from>
        <xdr:to>
          <xdr:col>1</xdr:col>
          <xdr:colOff>3848100</xdr:colOff>
          <xdr:row>17</xdr:row>
          <xdr:rowOff>0</xdr:rowOff>
        </xdr:to>
        <xdr:sp macro="" textlink="">
          <xdr:nvSpPr>
            <xdr:cNvPr id="3084" name="Drop Down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47625</xdr:rowOff>
        </xdr:from>
        <xdr:to>
          <xdr:col>1</xdr:col>
          <xdr:colOff>3848100</xdr:colOff>
          <xdr:row>19</xdr:row>
          <xdr:rowOff>9525</xdr:rowOff>
        </xdr:to>
        <xdr:sp macro="" textlink="">
          <xdr:nvSpPr>
            <xdr:cNvPr id="3085" name="Drop Down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47625</xdr:rowOff>
        </xdr:from>
        <xdr:to>
          <xdr:col>1</xdr:col>
          <xdr:colOff>3848100</xdr:colOff>
          <xdr:row>20</xdr:row>
          <xdr:rowOff>295275</xdr:rowOff>
        </xdr:to>
        <xdr:sp macro="" textlink="">
          <xdr:nvSpPr>
            <xdr:cNvPr id="3086" name="Drop Down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47625</xdr:rowOff>
        </xdr:from>
        <xdr:to>
          <xdr:col>1</xdr:col>
          <xdr:colOff>3629025</xdr:colOff>
          <xdr:row>8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47625</xdr:rowOff>
        </xdr:from>
        <xdr:to>
          <xdr:col>1</xdr:col>
          <xdr:colOff>3629025</xdr:colOff>
          <xdr:row>10</xdr:row>
          <xdr:rowOff>9525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3629025</xdr:colOff>
          <xdr:row>12</xdr:row>
          <xdr:rowOff>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3629025</xdr:colOff>
          <xdr:row>12</xdr:row>
          <xdr:rowOff>0</xdr:rowOff>
        </xdr:to>
        <xdr:sp macro="" textlink="">
          <xdr:nvSpPr>
            <xdr:cNvPr id="4100" name="Drop Down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3629025</xdr:colOff>
          <xdr:row>12</xdr:row>
          <xdr:rowOff>0</xdr:rowOff>
        </xdr:to>
        <xdr:sp macro="" textlink="">
          <xdr:nvSpPr>
            <xdr:cNvPr id="4103" name="Drop Down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9</xdr:row>
          <xdr:rowOff>95250</xdr:rowOff>
        </xdr:from>
        <xdr:to>
          <xdr:col>1</xdr:col>
          <xdr:colOff>4924425</xdr:colOff>
          <xdr:row>10</xdr:row>
          <xdr:rowOff>0</xdr:rowOff>
        </xdr:to>
        <xdr:sp macro="" textlink="">
          <xdr:nvSpPr>
            <xdr:cNvPr id="6152" name="Drop Down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11</xdr:row>
          <xdr:rowOff>38100</xdr:rowOff>
        </xdr:from>
        <xdr:to>
          <xdr:col>1</xdr:col>
          <xdr:colOff>4943475</xdr:colOff>
          <xdr:row>12</xdr:row>
          <xdr:rowOff>0</xdr:rowOff>
        </xdr:to>
        <xdr:sp macro="" textlink="">
          <xdr:nvSpPr>
            <xdr:cNvPr id="6153" name="Drop Down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13</xdr:row>
          <xdr:rowOff>19050</xdr:rowOff>
        </xdr:from>
        <xdr:to>
          <xdr:col>1</xdr:col>
          <xdr:colOff>4914900</xdr:colOff>
          <xdr:row>13</xdr:row>
          <xdr:rowOff>266700</xdr:rowOff>
        </xdr:to>
        <xdr:sp macro="" textlink="">
          <xdr:nvSpPr>
            <xdr:cNvPr id="6155" name="Drop Down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pa.org.uk/about_us/charging_schemes/idoc.ashx?docid=fa5cc388-fcb0-43f9-a044-b8e1b91c21f1&amp;version=-1" TargetMode="External"/><Relationship Id="rId1" Type="http://schemas.openxmlformats.org/officeDocument/2006/relationships/hyperlink" Target="http://www.sepa.org.uk/about_us/charging_schemes/idoc.ashx?docid=fa5cc388-fcb0-43f9-a044-b8e1b91c21f1&amp;version=-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sepa.org.uk/about_us/charging_schemes/idoc.ashx?docid=fa5cc388-fcb0-43f9-a044-b8e1b91c21f1&amp;version=-1" TargetMode="External"/><Relationship Id="rId1" Type="http://schemas.openxmlformats.org/officeDocument/2006/relationships/hyperlink" Target="http://www.sepa.org.uk/about_us/charging_schemes/idoc.ashx?docid=fa5cc388-fcb0-43f9-a044-b8e1b91c21f1&amp;version=-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sepa.org.uk/about_us/charging_schemes/idoc.ashx?docid=fa5cc388-fcb0-43f9-a044-b8e1b91c21f1&amp;version=-1" TargetMode="External"/><Relationship Id="rId1" Type="http://schemas.openxmlformats.org/officeDocument/2006/relationships/hyperlink" Target="http://www.sepa.org.uk/about_us/charging_schemes/idoc.ashx?docid=fa5cc388-fcb0-43f9-a044-b8e1b91c21f1&amp;version=-1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4.bin"/><Relationship Id="rId7" Type="http://schemas.openxmlformats.org/officeDocument/2006/relationships/ctrlProp" Target="../ctrlProps/ctrlProp2.xml"/><Relationship Id="rId2" Type="http://schemas.openxmlformats.org/officeDocument/2006/relationships/hyperlink" Target="http://www.sepa.org.uk/about_us/charging_schemes/idoc.ashx?docid=fa5cc388-fcb0-43f9-a044-b8e1b91c21f1&amp;version=-1" TargetMode="External"/><Relationship Id="rId1" Type="http://schemas.openxmlformats.org/officeDocument/2006/relationships/hyperlink" Target="http://www.sepa.org.uk/about_us/charging_schemes/idoc.ashx?docid=fa5cc388-fcb0-43f9-a044-b8e1b91c21f1&amp;version=-1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printerSettings" Target="../printerSettings/printerSettings5.bin"/><Relationship Id="rId7" Type="http://schemas.openxmlformats.org/officeDocument/2006/relationships/ctrlProp" Target="../ctrlProps/ctrlProp8.xml"/><Relationship Id="rId2" Type="http://schemas.openxmlformats.org/officeDocument/2006/relationships/hyperlink" Target="http://www.sepa.org.uk/about_us/charging_schemes/idoc.ashx?docid=fa5cc388-fcb0-43f9-a044-b8e1b91c21f1&amp;version=-1" TargetMode="External"/><Relationship Id="rId1" Type="http://schemas.openxmlformats.org/officeDocument/2006/relationships/hyperlink" Target="http://www.sepa.org.uk/about_us/charging_schemes/idoc.ashx?docid=fa5cc388-fcb0-43f9-a044-b8e1b91c21f1&amp;version=-1" TargetMode="External"/><Relationship Id="rId6" Type="http://schemas.openxmlformats.org/officeDocument/2006/relationships/ctrlProp" Target="../ctrlProps/ctrlProp7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printerSettings" Target="../printerSettings/printerSettings6.bin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2" Type="http://schemas.openxmlformats.org/officeDocument/2006/relationships/hyperlink" Target="http://www.sepa.org.uk/about_us/charging_schemes/idoc.ashx?docid=fa5cc388-fcb0-43f9-a044-b8e1b91c21f1&amp;version=-1" TargetMode="External"/><Relationship Id="rId1" Type="http://schemas.openxmlformats.org/officeDocument/2006/relationships/hyperlink" Target="http://www.sepa.org.uk/about_us/charging_schemes/idoc.ashx?docid=fa5cc388-fcb0-43f9-a044-b8e1b91c21f1&amp;version=-1" TargetMode="External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vmlDrawing" Target="../drawings/vmlDrawing3.vml"/><Relationship Id="rId10" Type="http://schemas.openxmlformats.org/officeDocument/2006/relationships/ctrlProp" Target="../ctrlProps/ctrlProp14.xml"/><Relationship Id="rId4" Type="http://schemas.openxmlformats.org/officeDocument/2006/relationships/drawing" Target="../drawings/drawing3.xml"/><Relationship Id="rId9" Type="http://schemas.openxmlformats.org/officeDocument/2006/relationships/ctrlProp" Target="../ctrlProps/ctrlProp1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3" Type="http://schemas.openxmlformats.org/officeDocument/2006/relationships/printerSettings" Target="../printerSettings/printerSettings7.bin"/><Relationship Id="rId7" Type="http://schemas.openxmlformats.org/officeDocument/2006/relationships/ctrlProp" Target="../ctrlProps/ctrlProp18.xml"/><Relationship Id="rId2" Type="http://schemas.openxmlformats.org/officeDocument/2006/relationships/hyperlink" Target="http://www.sepa.org.uk/about_us/charging_schemes/idoc.ashx?docid=fa5cc388-fcb0-43f9-a044-b8e1b91c21f1&amp;version=-1" TargetMode="External"/><Relationship Id="rId1" Type="http://schemas.openxmlformats.org/officeDocument/2006/relationships/hyperlink" Target="http://www.sepa.org.uk/about_us/charging_schemes/idoc.ashx?docid=fa5cc388-fcb0-43f9-a044-b8e1b91c21f1&amp;version=-1" TargetMode="External"/><Relationship Id="rId6" Type="http://schemas.openxmlformats.org/officeDocument/2006/relationships/ctrlProp" Target="../ctrlProps/ctrlProp17.xml"/><Relationship Id="rId5" Type="http://schemas.openxmlformats.org/officeDocument/2006/relationships/vmlDrawing" Target="../drawings/vmlDrawing4.vml"/><Relationship Id="rId10" Type="http://schemas.openxmlformats.org/officeDocument/2006/relationships/ctrlProp" Target="../ctrlProps/ctrlProp21.xml"/><Relationship Id="rId4" Type="http://schemas.openxmlformats.org/officeDocument/2006/relationships/drawing" Target="../drawings/drawing4.xml"/><Relationship Id="rId9" Type="http://schemas.openxmlformats.org/officeDocument/2006/relationships/ctrlProp" Target="../ctrlProps/ctrlProp20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3" Type="http://schemas.openxmlformats.org/officeDocument/2006/relationships/printerSettings" Target="../printerSettings/printerSettings8.bin"/><Relationship Id="rId7" Type="http://schemas.openxmlformats.org/officeDocument/2006/relationships/ctrlProp" Target="../ctrlProps/ctrlProp23.xml"/><Relationship Id="rId2" Type="http://schemas.openxmlformats.org/officeDocument/2006/relationships/hyperlink" Target="http://www.sepa.org.uk/about_us/charging_schemes/idoc.ashx?docid=fa5cc388-fcb0-43f9-a044-b8e1b91c21f1&amp;version=-1" TargetMode="External"/><Relationship Id="rId1" Type="http://schemas.openxmlformats.org/officeDocument/2006/relationships/hyperlink" Target="http://www.sepa.org.uk/about_us/charging_schemes/idoc.ashx?docid=fa5cc388-fcb0-43f9-a044-b8e1b91c21f1&amp;version=-1" TargetMode="External"/><Relationship Id="rId6" Type="http://schemas.openxmlformats.org/officeDocument/2006/relationships/ctrlProp" Target="../ctrlProps/ctrlProp22.xm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D1:E34"/>
  <sheetViews>
    <sheetView tabSelected="1" topLeftCell="C1" workbookViewId="0">
      <selection activeCell="E38" sqref="E38"/>
    </sheetView>
  </sheetViews>
  <sheetFormatPr defaultRowHeight="12.75" x14ac:dyDescent="0.2"/>
  <cols>
    <col min="1" max="2" width="0" hidden="1" customWidth="1"/>
    <col min="4" max="4" width="62.140625" customWidth="1"/>
    <col min="5" max="5" width="29.42578125" style="2" customWidth="1"/>
  </cols>
  <sheetData>
    <row r="1" spans="4:5" s="361" customFormat="1" ht="16.5" x14ac:dyDescent="0.25">
      <c r="D1" s="359" t="s">
        <v>249</v>
      </c>
      <c r="E1" s="360"/>
    </row>
    <row r="2" spans="4:5" s="361" customFormat="1" ht="16.5" x14ac:dyDescent="0.25">
      <c r="D2" s="359" t="s">
        <v>250</v>
      </c>
      <c r="E2" s="360"/>
    </row>
    <row r="6" spans="4:5" x14ac:dyDescent="0.2">
      <c r="D6" s="18" t="s">
        <v>62</v>
      </c>
    </row>
    <row r="8" spans="4:5" x14ac:dyDescent="0.2">
      <c r="D8" s="31" t="s">
        <v>67</v>
      </c>
    </row>
    <row r="9" spans="4:5" x14ac:dyDescent="0.2">
      <c r="D9" s="31" t="s">
        <v>63</v>
      </c>
    </row>
    <row r="11" spans="4:5" x14ac:dyDescent="0.2">
      <c r="D11" s="19"/>
    </row>
    <row r="12" spans="4:5" x14ac:dyDescent="0.2">
      <c r="D12" s="18" t="s">
        <v>3</v>
      </c>
    </row>
    <row r="14" spans="4:5" x14ac:dyDescent="0.2">
      <c r="D14" s="17" t="s">
        <v>159</v>
      </c>
    </row>
    <row r="17" spans="4:4" x14ac:dyDescent="0.2">
      <c r="D17" s="18" t="s">
        <v>64</v>
      </c>
    </row>
    <row r="19" spans="4:4" x14ac:dyDescent="0.2">
      <c r="D19" s="17" t="s">
        <v>65</v>
      </c>
    </row>
    <row r="20" spans="4:4" x14ac:dyDescent="0.2">
      <c r="D20" s="17" t="s">
        <v>56</v>
      </c>
    </row>
    <row r="21" spans="4:4" x14ac:dyDescent="0.2">
      <c r="D21" s="17" t="s">
        <v>57</v>
      </c>
    </row>
    <row r="22" spans="4:4" x14ac:dyDescent="0.2">
      <c r="D22" s="17" t="s">
        <v>58</v>
      </c>
    </row>
    <row r="23" spans="4:4" hidden="1" x14ac:dyDescent="0.2">
      <c r="D23" s="17" t="s">
        <v>59</v>
      </c>
    </row>
    <row r="24" spans="4:4" x14ac:dyDescent="0.2">
      <c r="D24" s="17" t="s">
        <v>210</v>
      </c>
    </row>
    <row r="26" spans="4:4" x14ac:dyDescent="0.2">
      <c r="D26" s="17" t="s">
        <v>66</v>
      </c>
    </row>
    <row r="29" spans="4:4" x14ac:dyDescent="0.2">
      <c r="D29" s="31" t="s">
        <v>214</v>
      </c>
    </row>
    <row r="32" spans="4:4" ht="18.75" x14ac:dyDescent="0.3">
      <c r="D32" s="358"/>
    </row>
    <row r="33" spans="4:4" ht="18" x14ac:dyDescent="0.25">
      <c r="D33" s="357"/>
    </row>
    <row r="34" spans="4:4" x14ac:dyDescent="0.2">
      <c r="D34" s="17"/>
    </row>
  </sheetData>
  <sheetProtection selectLockedCells="1"/>
  <phoneticPr fontId="4" type="noConversion"/>
  <hyperlinks>
    <hyperlink ref="D14" location="'Application Fees'!F6" display="All Regimes"/>
    <hyperlink ref="D19" location="'Point Sourc Subs calc '!D8" display="Point Source "/>
    <hyperlink ref="D20" location="'Disposal to Land  Subs'!D8" display="Disposal to Land"/>
    <hyperlink ref="D21" location="'Abstraction Subs Calc'!D2" display="Abstraction"/>
    <hyperlink ref="D22" location="'Impoundment Subs Calc'!D2" display="Impoundment"/>
    <hyperlink ref="D23" location="'Eng Subs Calc'!F8" display="Engineering"/>
    <hyperlink ref="D26" location="summary!A1" display="Financial Summary"/>
    <hyperlink ref="D24" location="'Engineering Subsistence Scheme'!D2" display="Engineering "/>
    <hyperlink ref="D1" r:id="rId1" display="http://www.sepa.org.uk/about_us/charging_schemes/idoc.ashx?docid=fa5cc388-fcb0-43f9-a044-b8e1b91c21f1&amp;version=-1"/>
    <hyperlink ref="D2" r:id="rId2" display="http://www.sepa.org.uk/about_us/charging_schemes/idoc.ashx?docid=fa5cc388-fcb0-43f9-a044-b8e1b91c21f1&amp;version=-1"/>
  </hyperlinks>
  <pageMargins left="0.75" right="0.75" top="1" bottom="1" header="0.5" footer="0.5"/>
  <pageSetup paperSize="9" orientation="portrait" verticalDpi="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C1:F46"/>
  <sheetViews>
    <sheetView workbookViewId="0">
      <selection activeCell="C2" sqref="C2"/>
    </sheetView>
  </sheetViews>
  <sheetFormatPr defaultRowHeight="12.75" x14ac:dyDescent="0.2"/>
  <cols>
    <col min="3" max="3" width="31.28515625" customWidth="1"/>
    <col min="5" max="5" width="14.85546875" customWidth="1"/>
    <col min="6" max="6" width="10.140625" customWidth="1"/>
  </cols>
  <sheetData>
    <row r="1" spans="3:5" ht="16.5" x14ac:dyDescent="0.25">
      <c r="C1" s="359" t="s">
        <v>249</v>
      </c>
    </row>
    <row r="2" spans="3:5" ht="16.5" x14ac:dyDescent="0.25">
      <c r="C2" s="359" t="s">
        <v>250</v>
      </c>
    </row>
    <row r="3" spans="3:5" x14ac:dyDescent="0.2">
      <c r="C3" s="17"/>
    </row>
    <row r="5" spans="3:5" x14ac:dyDescent="0.2">
      <c r="C5" s="31" t="s">
        <v>214</v>
      </c>
    </row>
    <row r="7" spans="3:5" x14ac:dyDescent="0.2">
      <c r="C7" s="177"/>
    </row>
    <row r="8" spans="3:5" x14ac:dyDescent="0.2">
      <c r="C8" s="178" t="s">
        <v>50</v>
      </c>
      <c r="E8" s="15"/>
    </row>
    <row r="9" spans="3:5" x14ac:dyDescent="0.2">
      <c r="C9" s="177"/>
    </row>
    <row r="10" spans="3:5" ht="13.5" thickBot="1" x14ac:dyDescent="0.25">
      <c r="C10" s="177"/>
      <c r="E10" s="16"/>
    </row>
    <row r="11" spans="3:5" ht="13.5" thickBot="1" x14ac:dyDescent="0.25">
      <c r="C11" s="178" t="s">
        <v>51</v>
      </c>
      <c r="E11" s="234" t="s">
        <v>242</v>
      </c>
    </row>
    <row r="12" spans="3:5" ht="13.5" thickTop="1" x14ac:dyDescent="0.2">
      <c r="C12" s="177" t="s">
        <v>192</v>
      </c>
      <c r="E12" s="265">
        <f>'Application Fees'!C26</f>
        <v>0</v>
      </c>
    </row>
    <row r="13" spans="3:5" x14ac:dyDescent="0.2">
      <c r="C13" s="177" t="s">
        <v>193</v>
      </c>
      <c r="E13" s="297">
        <f>'Application Fees'!D26</f>
        <v>0</v>
      </c>
    </row>
    <row r="14" spans="3:5" x14ac:dyDescent="0.2">
      <c r="C14" s="177" t="s">
        <v>52</v>
      </c>
      <c r="E14" s="297">
        <f>'Application Fees'!E26</f>
        <v>0</v>
      </c>
    </row>
    <row r="15" spans="3:5" x14ac:dyDescent="0.2">
      <c r="C15" s="177" t="s">
        <v>53</v>
      </c>
      <c r="E15" s="297">
        <f>'Application Fees'!F26</f>
        <v>0</v>
      </c>
    </row>
    <row r="16" spans="3:5" x14ac:dyDescent="0.2">
      <c r="C16" s="177"/>
      <c r="E16" s="224"/>
    </row>
    <row r="17" spans="3:6" ht="13.5" thickBot="1" x14ac:dyDescent="0.25">
      <c r="C17" s="178" t="s">
        <v>60</v>
      </c>
      <c r="E17" s="223">
        <f>SUM(E13:E15)</f>
        <v>0</v>
      </c>
    </row>
    <row r="18" spans="3:6" ht="13.5" thickTop="1" x14ac:dyDescent="0.2">
      <c r="C18" s="177"/>
      <c r="E18" s="14"/>
    </row>
    <row r="19" spans="3:6" ht="13.5" thickBot="1" x14ac:dyDescent="0.25">
      <c r="C19" s="177"/>
      <c r="E19" s="14"/>
    </row>
    <row r="20" spans="3:6" ht="17.25" customHeight="1" thickBot="1" x14ac:dyDescent="0.25">
      <c r="C20" s="178" t="s">
        <v>54</v>
      </c>
      <c r="E20" s="234" t="s">
        <v>242</v>
      </c>
      <c r="F20" s="230"/>
    </row>
    <row r="21" spans="3:6" ht="13.5" thickTop="1" x14ac:dyDescent="0.2">
      <c r="C21" s="177" t="s">
        <v>55</v>
      </c>
      <c r="E21" s="356">
        <f>'Point Sourc Subs calc '!E45+'Point Sourc Subs calc '!E49</f>
        <v>0</v>
      </c>
      <c r="F21" s="231"/>
    </row>
    <row r="22" spans="3:6" x14ac:dyDescent="0.2">
      <c r="C22" s="177" t="s">
        <v>56</v>
      </c>
      <c r="E22" s="235" t="str">
        <f>'Disposal to Land  Subs'!E32</f>
        <v>£0</v>
      </c>
      <c r="F22" s="231"/>
    </row>
    <row r="23" spans="3:6" x14ac:dyDescent="0.2">
      <c r="C23" s="177" t="s">
        <v>57</v>
      </c>
      <c r="E23" s="235" t="str">
        <f>'Abstraction Subs Calc'!E36</f>
        <v>£0</v>
      </c>
      <c r="F23" s="231"/>
    </row>
    <row r="24" spans="3:6" x14ac:dyDescent="0.2">
      <c r="C24" s="177" t="s">
        <v>58</v>
      </c>
      <c r="E24" s="235" t="str">
        <f>'Impoundment Subs Calc'!E29</f>
        <v>£0</v>
      </c>
      <c r="F24" s="231"/>
    </row>
    <row r="25" spans="3:6" hidden="1" x14ac:dyDescent="0.2">
      <c r="C25" s="177" t="s">
        <v>59</v>
      </c>
      <c r="E25" s="236"/>
      <c r="F25" s="232"/>
    </row>
    <row r="26" spans="3:6" x14ac:dyDescent="0.2">
      <c r="C26" s="177" t="s">
        <v>59</v>
      </c>
      <c r="E26" s="235" t="str">
        <f>'Engineering Subsistence Scheme'!E19</f>
        <v>£0</v>
      </c>
      <c r="F26" s="232"/>
    </row>
    <row r="27" spans="3:6" ht="18.75" customHeight="1" thickBot="1" x14ac:dyDescent="0.25">
      <c r="C27" s="178" t="s">
        <v>61</v>
      </c>
      <c r="E27" s="237">
        <f>SUM(E21:E26)</f>
        <v>0</v>
      </c>
      <c r="F27" s="233"/>
    </row>
    <row r="30" spans="3:6" x14ac:dyDescent="0.2">
      <c r="C30" s="31" t="s">
        <v>228</v>
      </c>
    </row>
    <row r="32" spans="3:6" x14ac:dyDescent="0.2">
      <c r="C32" s="31" t="s">
        <v>229</v>
      </c>
    </row>
    <row r="33" spans="3:3" x14ac:dyDescent="0.2">
      <c r="C33" s="31"/>
    </row>
    <row r="34" spans="3:3" x14ac:dyDescent="0.2">
      <c r="C34" s="31" t="s">
        <v>233</v>
      </c>
    </row>
    <row r="35" spans="3:3" x14ac:dyDescent="0.2">
      <c r="C35" s="31" t="s">
        <v>236</v>
      </c>
    </row>
    <row r="36" spans="3:3" x14ac:dyDescent="0.2">
      <c r="C36" s="31" t="s">
        <v>235</v>
      </c>
    </row>
    <row r="37" spans="3:3" x14ac:dyDescent="0.2">
      <c r="C37" s="31"/>
    </row>
    <row r="38" spans="3:3" x14ac:dyDescent="0.2">
      <c r="C38" s="31" t="s">
        <v>230</v>
      </c>
    </row>
    <row r="39" spans="3:3" x14ac:dyDescent="0.2">
      <c r="C39" s="31"/>
    </row>
    <row r="40" spans="3:3" x14ac:dyDescent="0.2">
      <c r="C40" s="31" t="s">
        <v>234</v>
      </c>
    </row>
    <row r="41" spans="3:3" x14ac:dyDescent="0.2">
      <c r="C41" s="31" t="s">
        <v>239</v>
      </c>
    </row>
    <row r="42" spans="3:3" x14ac:dyDescent="0.2">
      <c r="C42" s="31" t="s">
        <v>231</v>
      </c>
    </row>
    <row r="43" spans="3:3" x14ac:dyDescent="0.2">
      <c r="C43" s="31" t="s">
        <v>232</v>
      </c>
    </row>
    <row r="44" spans="3:3" x14ac:dyDescent="0.2">
      <c r="C44" s="31"/>
    </row>
    <row r="45" spans="3:3" x14ac:dyDescent="0.2">
      <c r="C45" s="31" t="s">
        <v>238</v>
      </c>
    </row>
    <row r="46" spans="3:3" x14ac:dyDescent="0.2">
      <c r="C46" s="31" t="s">
        <v>237</v>
      </c>
    </row>
  </sheetData>
  <sheetProtection selectLockedCells="1"/>
  <phoneticPr fontId="4" type="noConversion"/>
  <hyperlinks>
    <hyperlink ref="C1" r:id="rId1" display="http://www.sepa.org.uk/about_us/charging_schemes/idoc.ashx?docid=fa5cc388-fcb0-43f9-a044-b8e1b91c21f1&amp;version=-1"/>
    <hyperlink ref="C2" r:id="rId2" display="http://www.sepa.org.uk/about_us/charging_schemes/idoc.ashx?docid=fa5cc388-fcb0-43f9-a044-b8e1b91c21f1&amp;version=-1"/>
  </hyperlinks>
  <pageMargins left="0.75" right="0.75" top="1" bottom="1" header="0.5" footer="0.5"/>
  <pageSetup paperSize="9" orientation="portrait" verticalDpi="0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J37"/>
  <sheetViews>
    <sheetView zoomScale="95" workbookViewId="0">
      <selection activeCell="B2" sqref="B2"/>
    </sheetView>
  </sheetViews>
  <sheetFormatPr defaultRowHeight="12.75" x14ac:dyDescent="0.2"/>
  <cols>
    <col min="2" max="2" width="15.5703125" customWidth="1"/>
    <col min="3" max="7" width="20.28515625" customWidth="1"/>
  </cols>
  <sheetData>
    <row r="1" spans="2:10" ht="16.5" x14ac:dyDescent="0.25">
      <c r="B1" s="359" t="s">
        <v>249</v>
      </c>
    </row>
    <row r="2" spans="2:10" ht="16.5" x14ac:dyDescent="0.25">
      <c r="B2" s="359" t="s">
        <v>250</v>
      </c>
    </row>
    <row r="4" spans="2:10" x14ac:dyDescent="0.2">
      <c r="B4" s="365" t="s">
        <v>241</v>
      </c>
      <c r="C4" s="366"/>
      <c r="D4" s="366"/>
      <c r="E4" s="366"/>
    </row>
    <row r="6" spans="2:10" x14ac:dyDescent="0.2">
      <c r="B6" s="298"/>
      <c r="C6" s="299"/>
      <c r="D6" s="299" t="s">
        <v>194</v>
      </c>
      <c r="E6" s="300"/>
    </row>
    <row r="7" spans="2:10" ht="31.5" customHeight="1" x14ac:dyDescent="0.2">
      <c r="B7" s="238"/>
      <c r="C7" s="239"/>
      <c r="D7" s="348" t="s">
        <v>212</v>
      </c>
      <c r="E7" s="350" t="s">
        <v>213</v>
      </c>
    </row>
    <row r="8" spans="2:10" x14ac:dyDescent="0.2">
      <c r="B8" s="240" t="s">
        <v>155</v>
      </c>
      <c r="C8" s="241" t="s">
        <v>215</v>
      </c>
      <c r="D8" s="342">
        <v>78</v>
      </c>
      <c r="E8" s="343">
        <v>55</v>
      </c>
    </row>
    <row r="9" spans="2:10" x14ac:dyDescent="0.2">
      <c r="B9" s="243" t="s">
        <v>155</v>
      </c>
      <c r="C9" s="244" t="s">
        <v>0</v>
      </c>
      <c r="D9" s="344">
        <v>106</v>
      </c>
      <c r="E9" s="345">
        <v>74</v>
      </c>
    </row>
    <row r="10" spans="2:10" x14ac:dyDescent="0.2">
      <c r="B10" s="243" t="s">
        <v>155</v>
      </c>
      <c r="C10" s="244" t="s">
        <v>1</v>
      </c>
      <c r="D10" s="344">
        <v>606</v>
      </c>
      <c r="E10" s="345">
        <v>424</v>
      </c>
    </row>
    <row r="11" spans="2:10" x14ac:dyDescent="0.2">
      <c r="B11" s="247" t="s">
        <v>155</v>
      </c>
      <c r="C11" s="248" t="s">
        <v>2</v>
      </c>
      <c r="D11" s="346">
        <v>2857</v>
      </c>
      <c r="E11" s="347">
        <v>2000</v>
      </c>
    </row>
    <row r="13" spans="2:10" ht="27" customHeight="1" x14ac:dyDescent="0.2">
      <c r="B13" s="362" t="s">
        <v>156</v>
      </c>
      <c r="C13" s="363"/>
      <c r="D13" s="363"/>
      <c r="E13" s="363"/>
      <c r="F13" s="363"/>
      <c r="G13" s="364"/>
      <c r="H13" s="2"/>
      <c r="I13" s="2"/>
    </row>
    <row r="15" spans="2:10" x14ac:dyDescent="0.2">
      <c r="B15" s="249" t="s">
        <v>248</v>
      </c>
      <c r="C15" s="250"/>
      <c r="D15" s="250"/>
      <c r="E15" s="250"/>
      <c r="F15" s="250"/>
      <c r="G15" s="250"/>
      <c r="J15" s="251"/>
    </row>
    <row r="16" spans="2:10" x14ac:dyDescent="0.2">
      <c r="B16" s="250"/>
      <c r="C16" s="252" t="s">
        <v>157</v>
      </c>
      <c r="D16" s="252" t="s">
        <v>0</v>
      </c>
      <c r="E16" s="252" t="s">
        <v>1</v>
      </c>
      <c r="F16" s="252" t="s">
        <v>2</v>
      </c>
      <c r="G16" s="250" t="s">
        <v>158</v>
      </c>
    </row>
    <row r="17" spans="2:8" x14ac:dyDescent="0.2">
      <c r="B17" s="250" t="s">
        <v>159</v>
      </c>
      <c r="C17" s="349">
        <v>0</v>
      </c>
      <c r="D17" s="349">
        <v>0</v>
      </c>
      <c r="E17" s="349">
        <v>0</v>
      </c>
      <c r="F17" s="349">
        <v>0</v>
      </c>
      <c r="G17" s="250">
        <f>SUM(D17:F17)</f>
        <v>0</v>
      </c>
    </row>
    <row r="18" spans="2:8" ht="21" customHeight="1" x14ac:dyDescent="0.2"/>
    <row r="19" spans="2:8" x14ac:dyDescent="0.2">
      <c r="B19" s="253" t="s">
        <v>160</v>
      </c>
      <c r="C19" s="254"/>
      <c r="D19" s="255"/>
      <c r="E19" s="255"/>
      <c r="F19" s="255"/>
      <c r="G19" s="257"/>
    </row>
    <row r="20" spans="2:8" x14ac:dyDescent="0.2">
      <c r="B20" s="258"/>
      <c r="C20" s="256" t="s">
        <v>157</v>
      </c>
      <c r="D20" s="337" t="s">
        <v>0</v>
      </c>
      <c r="E20" s="337" t="s">
        <v>1</v>
      </c>
      <c r="F20" s="337" t="s">
        <v>2</v>
      </c>
      <c r="G20" s="337"/>
    </row>
    <row r="21" spans="2:8" ht="18" customHeight="1" x14ac:dyDescent="0.2">
      <c r="B21" s="258" t="str">
        <f>B17</f>
        <v>All Regimes</v>
      </c>
      <c r="C21" s="259">
        <f>C17*$D$8</f>
        <v>0</v>
      </c>
      <c r="D21" s="259">
        <f>D17*$D$9</f>
        <v>0</v>
      </c>
      <c r="E21" s="338">
        <f>E17*$D$10</f>
        <v>0</v>
      </c>
      <c r="F21" s="338">
        <f>F17*$D$11</f>
        <v>0</v>
      </c>
      <c r="G21" s="338">
        <f>SUM(D21:F21)</f>
        <v>0</v>
      </c>
    </row>
    <row r="22" spans="2:8" ht="21" customHeight="1" x14ac:dyDescent="0.2">
      <c r="B22" s="340" t="s">
        <v>211</v>
      </c>
      <c r="C22" s="260"/>
      <c r="D22" s="260"/>
      <c r="E22" s="260"/>
      <c r="F22" s="260"/>
      <c r="G22" s="261">
        <f>SUM(D21:F21)</f>
        <v>0</v>
      </c>
    </row>
    <row r="23" spans="2:8" ht="18.75" customHeight="1" x14ac:dyDescent="0.2">
      <c r="B23" s="246"/>
      <c r="C23" s="262"/>
      <c r="D23" s="262"/>
      <c r="E23" s="262"/>
      <c r="F23" s="262"/>
      <c r="G23" s="263"/>
    </row>
    <row r="24" spans="2:8" x14ac:dyDescent="0.2">
      <c r="B24" s="334" t="s">
        <v>161</v>
      </c>
      <c r="C24" s="255"/>
      <c r="D24" s="255"/>
      <c r="E24" s="255"/>
      <c r="F24" s="255"/>
      <c r="G24" s="257"/>
    </row>
    <row r="25" spans="2:8" x14ac:dyDescent="0.2">
      <c r="B25" s="238"/>
      <c r="C25" s="337" t="s">
        <v>157</v>
      </c>
      <c r="D25" s="337" t="s">
        <v>0</v>
      </c>
      <c r="E25" s="337" t="s">
        <v>1</v>
      </c>
      <c r="F25" s="337" t="s">
        <v>2</v>
      </c>
      <c r="G25" s="337"/>
    </row>
    <row r="26" spans="2:8" x14ac:dyDescent="0.2">
      <c r="B26" s="247" t="str">
        <f>B17</f>
        <v>All Regimes</v>
      </c>
      <c r="C26" s="338">
        <f>IF(C17="",0,IF(C17=0,0,IF(C17=1,$D$8,(($D$8+((C17-1)*$E$8))))))</f>
        <v>0</v>
      </c>
      <c r="D26" s="338">
        <f>IF(D17="",0,IF(D17=0,0,IF(F17&gt;=1,D17*$E$9,IF(E17&gt;=1,D17*$E$9,IF(D17&gt;=1,D9+((D17-1)*$E$9),"err")))))</f>
        <v>0</v>
      </c>
      <c r="E26" s="338">
        <f>IF(E17="",0,IF(E17=0,0,IF(F17&gt;=1,E17*$E$10,IF(E17&gt;=1,D10+((E17-1)*$E$10),"err"))))</f>
        <v>0</v>
      </c>
      <c r="F26" s="338">
        <f>IF(F17="",0,IF(F17=0,0,IF(F17=1,$D$11,(($D$11+((F17-1)*$E$11))))))</f>
        <v>0</v>
      </c>
      <c r="G26" s="338">
        <f>SUM(D26:F26)</f>
        <v>0</v>
      </c>
      <c r="H26" s="264"/>
    </row>
    <row r="27" spans="2:8" ht="17.25" customHeight="1" x14ac:dyDescent="0.2">
      <c r="B27" s="339" t="s">
        <v>209</v>
      </c>
      <c r="C27" s="245"/>
      <c r="D27" s="245"/>
      <c r="E27" s="245"/>
      <c r="F27" s="245"/>
      <c r="G27" s="242">
        <f>G22-G29</f>
        <v>0</v>
      </c>
      <c r="H27" s="264"/>
    </row>
    <row r="28" spans="2:8" x14ac:dyDescent="0.2">
      <c r="B28" s="247"/>
      <c r="C28" s="335"/>
      <c r="D28" s="335"/>
      <c r="E28" s="335"/>
      <c r="F28" s="335"/>
      <c r="G28" s="336"/>
      <c r="H28" s="264"/>
    </row>
    <row r="29" spans="2:8" x14ac:dyDescent="0.2">
      <c r="B29" s="331" t="s">
        <v>162</v>
      </c>
      <c r="C29" s="332"/>
      <c r="D29" s="332"/>
      <c r="E29" s="332"/>
      <c r="F29" s="332"/>
      <c r="G29" s="333">
        <f>SUM(D26:F26)</f>
        <v>0</v>
      </c>
    </row>
    <row r="30" spans="2:8" x14ac:dyDescent="0.2">
      <c r="C30" s="265"/>
      <c r="D30" s="265"/>
      <c r="E30" s="265"/>
      <c r="F30" s="265"/>
      <c r="G30" s="245"/>
    </row>
    <row r="32" spans="2:8" ht="18.75" x14ac:dyDescent="0.3">
      <c r="B32" s="358"/>
      <c r="C32" s="265"/>
      <c r="D32" s="265"/>
      <c r="E32" s="265"/>
      <c r="F32" s="265"/>
      <c r="G32" s="245"/>
    </row>
    <row r="33" spans="2:7" ht="18" x14ac:dyDescent="0.25">
      <c r="B33" s="357"/>
      <c r="C33" s="265"/>
      <c r="D33" s="265"/>
      <c r="E33" s="265"/>
      <c r="F33" s="266"/>
      <c r="G33" s="245"/>
    </row>
    <row r="34" spans="2:7" x14ac:dyDescent="0.2">
      <c r="B34" s="17"/>
      <c r="C34" s="265"/>
      <c r="D34" s="265"/>
      <c r="E34" s="265"/>
      <c r="F34" s="265"/>
      <c r="G34" s="245"/>
    </row>
    <row r="35" spans="2:7" x14ac:dyDescent="0.2">
      <c r="C35" s="265"/>
      <c r="D35" s="265"/>
      <c r="E35" s="265"/>
      <c r="F35" s="265"/>
      <c r="G35" s="245"/>
    </row>
    <row r="36" spans="2:7" x14ac:dyDescent="0.2">
      <c r="C36" s="265"/>
      <c r="D36" s="266"/>
      <c r="E36" s="265"/>
      <c r="F36" s="265"/>
      <c r="G36" s="245"/>
    </row>
    <row r="37" spans="2:7" x14ac:dyDescent="0.2">
      <c r="C37" s="265"/>
      <c r="D37" s="265"/>
      <c r="E37" s="265"/>
      <c r="F37" s="265"/>
      <c r="G37" s="265"/>
    </row>
  </sheetData>
  <sheetProtection selectLockedCells="1"/>
  <mergeCells count="2">
    <mergeCell ref="B13:G13"/>
    <mergeCell ref="B4:E4"/>
  </mergeCells>
  <phoneticPr fontId="4" type="noConversion"/>
  <hyperlinks>
    <hyperlink ref="B1" r:id="rId1" display="http://www.sepa.org.uk/about_us/charging_schemes/idoc.ashx?docid=fa5cc388-fcb0-43f9-a044-b8e1b91c21f1&amp;version=-1"/>
    <hyperlink ref="B2" r:id="rId2" display="http://www.sepa.org.uk/about_us/charging_schemes/idoc.ashx?docid=fa5cc388-fcb0-43f9-a044-b8e1b91c21f1&amp;version=-1"/>
  </hyperlinks>
  <pageMargins left="0.75" right="0.75" top="1" bottom="1" header="0.5" footer="0.5"/>
  <pageSetup paperSize="9" orientation="landscape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Q54"/>
  <sheetViews>
    <sheetView workbookViewId="0">
      <selection activeCell="A2" sqref="A2"/>
    </sheetView>
  </sheetViews>
  <sheetFormatPr defaultRowHeight="12.75" x14ac:dyDescent="0.2"/>
  <cols>
    <col min="1" max="1" width="47.42578125" style="32" customWidth="1"/>
    <col min="2" max="2" width="43.5703125" style="32" customWidth="1"/>
    <col min="3" max="3" width="4" style="32" hidden="1" customWidth="1"/>
    <col min="4" max="4" width="6.28515625" style="32" hidden="1" customWidth="1"/>
    <col min="5" max="5" width="14" style="145" customWidth="1"/>
    <col min="6" max="6" width="43" style="32" customWidth="1"/>
    <col min="7" max="7" width="17.28515625" style="32" customWidth="1"/>
    <col min="8" max="8" width="27.7109375" style="32" customWidth="1"/>
    <col min="9" max="9" width="39.140625" style="32" customWidth="1"/>
    <col min="10" max="10" width="8.28515625" style="32" customWidth="1"/>
    <col min="11" max="11" width="8.5703125" style="32" customWidth="1"/>
    <col min="12" max="12" width="24" style="32" customWidth="1"/>
    <col min="13" max="13" width="13" style="32" customWidth="1"/>
    <col min="14" max="16384" width="9.140625" style="32"/>
  </cols>
  <sheetData>
    <row r="1" spans="1:11" ht="16.5" x14ac:dyDescent="0.25">
      <c r="A1" s="359" t="s">
        <v>249</v>
      </c>
    </row>
    <row r="2" spans="1:11" ht="16.5" x14ac:dyDescent="0.25">
      <c r="A2" s="359" t="s">
        <v>250</v>
      </c>
    </row>
    <row r="4" spans="1:11" s="24" customFormat="1" ht="15" x14ac:dyDescent="0.25">
      <c r="A4" s="173" t="s">
        <v>136</v>
      </c>
      <c r="E4" s="144"/>
    </row>
    <row r="5" spans="1:11" s="24" customFormat="1" ht="15" x14ac:dyDescent="0.25">
      <c r="A5" s="174"/>
      <c r="E5" s="144"/>
    </row>
    <row r="6" spans="1:11" s="24" customFormat="1" ht="15" x14ac:dyDescent="0.25">
      <c r="A6" s="174"/>
      <c r="E6" s="144"/>
    </row>
    <row r="7" spans="1:11" x14ac:dyDescent="0.2">
      <c r="B7" s="175" t="s">
        <v>134</v>
      </c>
    </row>
    <row r="8" spans="1:11" s="1" customFormat="1" x14ac:dyDescent="0.2">
      <c r="B8" s="136"/>
      <c r="E8" s="146" t="s">
        <v>42</v>
      </c>
      <c r="F8" s="35"/>
      <c r="G8" s="36"/>
      <c r="H8" s="35"/>
      <c r="I8" s="35"/>
      <c r="J8" s="35"/>
      <c r="K8" s="36"/>
    </row>
    <row r="9" spans="1:11" x14ac:dyDescent="0.2">
      <c r="B9" s="135"/>
      <c r="F9" s="27"/>
      <c r="G9" s="27"/>
      <c r="H9" s="27"/>
      <c r="I9" s="27"/>
      <c r="J9" s="27"/>
      <c r="K9" s="27"/>
    </row>
    <row r="10" spans="1:11" ht="24.75" customHeight="1" x14ac:dyDescent="0.2">
      <c r="A10" s="1" t="s">
        <v>71</v>
      </c>
      <c r="B10" s="135"/>
      <c r="C10" s="135">
        <v>1</v>
      </c>
      <c r="E10" s="147" t="str">
        <f>IF(C10=2,0.3,IF(C10=3,0.5,IF(C10=4,1,IF(C10=5,2,IF(C10=6,3,IF(C10=7,6,IF(C10=8,12,IF(C10=9,24,"please enter a valid option"))))))))</f>
        <v>please enter a valid option</v>
      </c>
      <c r="F10" s="27"/>
      <c r="G10" s="27"/>
      <c r="H10" s="38"/>
      <c r="I10" s="27"/>
      <c r="J10" s="27">
        <v>1</v>
      </c>
      <c r="K10" s="27"/>
    </row>
    <row r="11" spans="1:11" ht="21" customHeight="1" x14ac:dyDescent="0.2">
      <c r="A11" s="1"/>
      <c r="B11" s="135"/>
      <c r="C11" s="135"/>
      <c r="E11" s="148"/>
      <c r="F11" s="27"/>
      <c r="G11" s="27"/>
      <c r="H11" s="38"/>
      <c r="I11" s="27"/>
      <c r="J11" s="27"/>
      <c r="K11" s="38"/>
    </row>
    <row r="12" spans="1:11" ht="22.5" customHeight="1" x14ac:dyDescent="0.2">
      <c r="A12" s="1" t="s">
        <v>138</v>
      </c>
      <c r="B12" s="135"/>
      <c r="C12" s="135">
        <v>1</v>
      </c>
      <c r="E12" s="147" t="str">
        <f>IF(C12=2,14,IF(C12=3,5,IF(C12=4,3,IF(C12=5,2,IF(C12=6,1,IF(C12=7,0.5,IF(C12=8,0.3,"please enter a valid option")))))))</f>
        <v>please enter a valid option</v>
      </c>
      <c r="F12" s="27"/>
      <c r="G12" s="27"/>
      <c r="H12" s="38"/>
      <c r="I12" s="27"/>
      <c r="J12" s="27"/>
      <c r="K12" s="38"/>
    </row>
    <row r="13" spans="1:11" ht="30" customHeight="1" x14ac:dyDescent="0.2">
      <c r="A13" s="180" t="s">
        <v>139</v>
      </c>
      <c r="B13" s="135"/>
      <c r="C13" s="135">
        <v>1</v>
      </c>
      <c r="E13" s="148"/>
      <c r="F13" s="27"/>
      <c r="G13" s="27"/>
      <c r="H13" s="38"/>
      <c r="I13" s="27"/>
      <c r="J13" s="27"/>
      <c r="K13" s="38"/>
    </row>
    <row r="14" spans="1:11" ht="24.75" customHeight="1" x14ac:dyDescent="0.2">
      <c r="A14" s="1" t="s">
        <v>70</v>
      </c>
      <c r="B14" s="135"/>
      <c r="C14" s="135">
        <v>1</v>
      </c>
      <c r="E14" s="147" t="str">
        <f>IF(C14=2,0.5,IF(C14=3,1,IF(C14=4,1.5,IF(C14=5,1.5,"please enter a valid option"))))</f>
        <v>please enter a valid option</v>
      </c>
      <c r="F14" s="27"/>
      <c r="G14" s="27"/>
      <c r="H14" s="38"/>
      <c r="I14" s="27"/>
      <c r="J14" s="27"/>
      <c r="K14" s="38"/>
    </row>
    <row r="15" spans="1:11" ht="17.25" customHeight="1" x14ac:dyDescent="0.2">
      <c r="A15" s="353" t="s">
        <v>240</v>
      </c>
      <c r="B15" s="135"/>
      <c r="C15" s="135">
        <v>1</v>
      </c>
      <c r="E15" s="148"/>
      <c r="F15" s="27"/>
      <c r="G15" s="27"/>
      <c r="H15" s="38"/>
      <c r="I15" s="27"/>
      <c r="J15" s="27"/>
      <c r="K15" s="38"/>
    </row>
    <row r="16" spans="1:11" ht="25.5" customHeight="1" x14ac:dyDescent="0.2">
      <c r="A16" s="35" t="s">
        <v>163</v>
      </c>
      <c r="B16" s="135"/>
      <c r="C16" s="135">
        <v>1</v>
      </c>
      <c r="E16" s="147" t="str">
        <f>IF(C16=2,M28,IF(C16=3,M29,IF(C16=4,M30,IF(C16=5,M31,"please enter a valid option"))))</f>
        <v>please enter a valid option</v>
      </c>
      <c r="F16" s="27"/>
      <c r="G16" s="27"/>
      <c r="H16" s="38"/>
      <c r="I16" s="27"/>
      <c r="J16" s="27"/>
      <c r="K16" s="38"/>
    </row>
    <row r="17" spans="1:17" ht="17.25" customHeight="1" x14ac:dyDescent="0.2">
      <c r="A17" s="1"/>
      <c r="B17" s="354" t="s">
        <v>227</v>
      </c>
      <c r="C17" s="135"/>
      <c r="E17" s="148"/>
      <c r="F17" s="27"/>
      <c r="G17" s="27"/>
      <c r="H17" s="38"/>
      <c r="I17" s="27"/>
      <c r="J17" s="27"/>
      <c r="K17" s="38"/>
    </row>
    <row r="18" spans="1:17" ht="25.5" customHeight="1" x14ac:dyDescent="0.2">
      <c r="A18" s="35" t="s">
        <v>219</v>
      </c>
      <c r="B18" s="135"/>
      <c r="C18" s="135">
        <v>1</v>
      </c>
      <c r="E18" s="147" t="str">
        <f>IF(C18=2,1,IF(C18=3,1.25,IF(C18=4,4,IF(C18=5,8,IF(C18=6,16,IF(C18=7,32,IF(C18=8,64,"please enter a valid option")))))))</f>
        <v>please enter a valid option</v>
      </c>
      <c r="F18" s="27"/>
      <c r="G18" s="27"/>
      <c r="H18" s="38"/>
      <c r="I18" s="27"/>
      <c r="J18" s="27"/>
      <c r="K18" s="38"/>
    </row>
    <row r="19" spans="1:17" ht="25.5" customHeight="1" x14ac:dyDescent="0.2">
      <c r="A19" s="35"/>
      <c r="B19" s="135"/>
      <c r="C19" s="135"/>
      <c r="E19" s="148"/>
      <c r="F19" s="27"/>
      <c r="G19" s="27"/>
      <c r="H19" s="38"/>
      <c r="I19" s="27"/>
      <c r="J19" s="27"/>
      <c r="K19" s="38"/>
    </row>
    <row r="20" spans="1:17" ht="25.5" customHeight="1" x14ac:dyDescent="0.2">
      <c r="A20" s="35"/>
      <c r="B20" s="135"/>
      <c r="C20" s="135"/>
      <c r="E20" s="148"/>
      <c r="F20" s="27"/>
      <c r="G20" s="27"/>
      <c r="H20" s="38"/>
      <c r="I20" s="27"/>
      <c r="J20" s="27"/>
      <c r="K20" s="38"/>
    </row>
    <row r="21" spans="1:17" ht="17.25" hidden="1" customHeight="1" x14ac:dyDescent="0.2">
      <c r="A21" s="1"/>
      <c r="B21" s="135"/>
      <c r="C21" s="135"/>
      <c r="E21" s="148"/>
      <c r="F21" s="27"/>
      <c r="G21" s="27"/>
      <c r="H21" s="38"/>
      <c r="I21" s="27"/>
      <c r="J21" s="27"/>
      <c r="K21" s="38"/>
    </row>
    <row r="22" spans="1:17" ht="17.25" hidden="1" customHeight="1" x14ac:dyDescent="0.2">
      <c r="A22" s="35"/>
      <c r="B22" s="135"/>
      <c r="C22" s="135"/>
      <c r="E22" s="148"/>
      <c r="F22" s="27"/>
      <c r="G22" s="27"/>
      <c r="H22" s="38"/>
      <c r="I22" s="27"/>
      <c r="J22" s="27"/>
      <c r="K22" s="38"/>
    </row>
    <row r="23" spans="1:17" ht="22.5" hidden="1" customHeight="1" x14ac:dyDescent="0.2">
      <c r="B23" s="137" t="s">
        <v>15</v>
      </c>
      <c r="C23" s="71"/>
      <c r="D23" s="71"/>
      <c r="E23" s="149"/>
      <c r="F23" s="71"/>
      <c r="G23" s="71"/>
      <c r="H23" s="71"/>
      <c r="I23" s="71"/>
      <c r="J23" s="71"/>
      <c r="K23" s="71"/>
    </row>
    <row r="24" spans="1:17" hidden="1" x14ac:dyDescent="0.2">
      <c r="B24" s="138" t="s">
        <v>16</v>
      </c>
      <c r="C24" s="71"/>
      <c r="D24" s="71"/>
      <c r="E24" s="149"/>
      <c r="F24" s="71"/>
      <c r="G24" s="71"/>
      <c r="H24" s="71"/>
      <c r="I24" s="71"/>
      <c r="J24" s="71"/>
      <c r="K24" s="71"/>
    </row>
    <row r="25" spans="1:17" hidden="1" x14ac:dyDescent="0.2">
      <c r="B25" s="135"/>
    </row>
    <row r="26" spans="1:17" hidden="1" x14ac:dyDescent="0.2">
      <c r="B26" s="139" t="s">
        <v>49</v>
      </c>
      <c r="C26" s="72" t="s">
        <v>7</v>
      </c>
      <c r="D26" s="72"/>
      <c r="E26" s="150"/>
      <c r="F26" s="72" t="s">
        <v>5</v>
      </c>
      <c r="G26" s="72" t="s">
        <v>7</v>
      </c>
      <c r="H26" s="72"/>
      <c r="I26" s="72" t="s">
        <v>8</v>
      </c>
      <c r="J26" s="72" t="s">
        <v>7</v>
      </c>
      <c r="K26" s="72"/>
      <c r="L26" s="72" t="s">
        <v>164</v>
      </c>
      <c r="M26" s="72" t="s">
        <v>7</v>
      </c>
      <c r="N26" s="72"/>
      <c r="O26" s="72" t="s">
        <v>219</v>
      </c>
      <c r="P26" s="72" t="s">
        <v>7</v>
      </c>
      <c r="Q26" s="72"/>
    </row>
    <row r="27" spans="1:17" ht="13.5" hidden="1" thickBot="1" x14ac:dyDescent="0.25">
      <c r="B27" s="140" t="s">
        <v>137</v>
      </c>
      <c r="C27" s="72"/>
      <c r="D27" s="72"/>
      <c r="E27" s="150"/>
      <c r="F27" s="72" t="s">
        <v>137</v>
      </c>
      <c r="G27" s="72"/>
      <c r="H27" s="72"/>
      <c r="I27" s="72" t="s">
        <v>137</v>
      </c>
      <c r="J27" s="72"/>
      <c r="K27" s="72"/>
      <c r="L27" s="72" t="s">
        <v>137</v>
      </c>
      <c r="M27" s="72"/>
      <c r="N27" s="72"/>
      <c r="O27" s="72" t="s">
        <v>137</v>
      </c>
      <c r="P27" s="72"/>
      <c r="Q27" s="72"/>
    </row>
    <row r="28" spans="1:17" ht="13.5" hidden="1" customHeight="1" thickBot="1" x14ac:dyDescent="0.25">
      <c r="B28" s="140" t="s">
        <v>77</v>
      </c>
      <c r="C28" s="179">
        <v>0.3</v>
      </c>
      <c r="E28" s="151"/>
      <c r="F28" s="72" t="s">
        <v>85</v>
      </c>
      <c r="G28" s="72">
        <v>14</v>
      </c>
      <c r="H28" s="73"/>
      <c r="I28" s="72" t="s">
        <v>91</v>
      </c>
      <c r="J28" s="72">
        <v>0.5</v>
      </c>
      <c r="K28" s="73"/>
      <c r="L28" s="269" t="s">
        <v>190</v>
      </c>
      <c r="M28" s="267">
        <v>1</v>
      </c>
      <c r="N28" s="73"/>
      <c r="O28" s="269" t="s">
        <v>221</v>
      </c>
      <c r="P28" s="267">
        <v>1</v>
      </c>
      <c r="Q28" s="73"/>
    </row>
    <row r="29" spans="1:17" ht="26.25" hidden="1" thickBot="1" x14ac:dyDescent="0.25">
      <c r="B29" s="140" t="s">
        <v>78</v>
      </c>
      <c r="C29" s="179">
        <v>0.5</v>
      </c>
      <c r="E29" s="151"/>
      <c r="F29" s="72" t="s">
        <v>86</v>
      </c>
      <c r="G29" s="72">
        <v>5</v>
      </c>
      <c r="H29" s="73"/>
      <c r="I29" s="72" t="s">
        <v>92</v>
      </c>
      <c r="J29" s="72">
        <v>1</v>
      </c>
      <c r="K29" s="73"/>
      <c r="L29" s="268" t="s">
        <v>191</v>
      </c>
      <c r="M29" s="267">
        <v>1.1000000000000001</v>
      </c>
      <c r="N29" s="73"/>
      <c r="O29" s="268" t="s">
        <v>220</v>
      </c>
      <c r="P29" s="267">
        <v>1.25</v>
      </c>
      <c r="Q29" s="73"/>
    </row>
    <row r="30" spans="1:17" ht="26.25" hidden="1" thickBot="1" x14ac:dyDescent="0.25">
      <c r="B30" s="140" t="s">
        <v>79</v>
      </c>
      <c r="C30" s="179">
        <v>1</v>
      </c>
      <c r="E30" s="151"/>
      <c r="F30" s="72" t="s">
        <v>87</v>
      </c>
      <c r="G30" s="72">
        <v>3</v>
      </c>
      <c r="H30" s="73"/>
      <c r="I30" s="72" t="s">
        <v>93</v>
      </c>
      <c r="J30" s="72">
        <v>1.5</v>
      </c>
      <c r="K30" s="73"/>
      <c r="L30" s="268" t="s">
        <v>188</v>
      </c>
      <c r="M30" s="267">
        <v>1.3</v>
      </c>
      <c r="N30" s="73"/>
      <c r="O30" s="268" t="s">
        <v>222</v>
      </c>
      <c r="P30" s="267">
        <v>4</v>
      </c>
      <c r="Q30" s="73"/>
    </row>
    <row r="31" spans="1:17" ht="12.75" hidden="1" customHeight="1" thickBot="1" x14ac:dyDescent="0.25">
      <c r="B31" s="140" t="s">
        <v>80</v>
      </c>
      <c r="C31" s="179">
        <v>2</v>
      </c>
      <c r="E31" s="151"/>
      <c r="F31" s="72" t="s">
        <v>68</v>
      </c>
      <c r="G31" s="72">
        <v>2</v>
      </c>
      <c r="H31" s="73"/>
      <c r="I31" s="72" t="s">
        <v>94</v>
      </c>
      <c r="J31" s="72">
        <v>1.5</v>
      </c>
      <c r="K31" s="73"/>
      <c r="L31" s="268" t="s">
        <v>189</v>
      </c>
      <c r="M31" s="267">
        <v>1.5</v>
      </c>
      <c r="N31" s="73"/>
      <c r="O31" s="268" t="s">
        <v>223</v>
      </c>
      <c r="P31" s="267">
        <v>8</v>
      </c>
      <c r="Q31" s="73"/>
    </row>
    <row r="32" spans="1:17" hidden="1" x14ac:dyDescent="0.2">
      <c r="B32" s="140" t="s">
        <v>81</v>
      </c>
      <c r="C32" s="179">
        <v>3</v>
      </c>
      <c r="E32" s="151"/>
      <c r="F32" s="72" t="s">
        <v>88</v>
      </c>
      <c r="G32" s="72">
        <v>1</v>
      </c>
      <c r="H32" s="73"/>
      <c r="I32" s="72"/>
      <c r="J32" s="72"/>
      <c r="K32" s="72"/>
      <c r="L32" s="72"/>
      <c r="M32" s="72"/>
      <c r="N32" s="73"/>
      <c r="O32" s="72" t="s">
        <v>224</v>
      </c>
      <c r="P32" s="72">
        <v>16</v>
      </c>
      <c r="Q32" s="73"/>
    </row>
    <row r="33" spans="1:17" hidden="1" x14ac:dyDescent="0.2">
      <c r="B33" s="140" t="s">
        <v>82</v>
      </c>
      <c r="C33" s="179">
        <v>6</v>
      </c>
      <c r="E33" s="151"/>
      <c r="F33" s="72" t="s">
        <v>89</v>
      </c>
      <c r="G33" s="72">
        <v>0.5</v>
      </c>
      <c r="H33" s="73"/>
      <c r="I33" s="72"/>
      <c r="J33" s="72"/>
      <c r="K33" s="72"/>
      <c r="L33" s="72"/>
      <c r="M33" s="72"/>
      <c r="N33" s="72"/>
      <c r="O33" s="72" t="s">
        <v>225</v>
      </c>
      <c r="P33" s="72">
        <v>32</v>
      </c>
      <c r="Q33" s="72"/>
    </row>
    <row r="34" spans="1:17" hidden="1" x14ac:dyDescent="0.2">
      <c r="B34" s="140" t="s">
        <v>83</v>
      </c>
      <c r="C34" s="179">
        <v>12</v>
      </c>
      <c r="E34" s="151"/>
      <c r="F34" s="72" t="s">
        <v>90</v>
      </c>
      <c r="G34" s="72">
        <v>0.3</v>
      </c>
      <c r="H34" s="73"/>
      <c r="I34" s="72"/>
      <c r="J34" s="72"/>
      <c r="K34" s="72"/>
      <c r="L34" s="72"/>
      <c r="M34" s="72"/>
      <c r="N34" s="72"/>
      <c r="O34" s="72" t="s">
        <v>226</v>
      </c>
      <c r="P34" s="72">
        <v>64</v>
      </c>
      <c r="Q34" s="72"/>
    </row>
    <row r="35" spans="1:17" hidden="1" x14ac:dyDescent="0.2">
      <c r="B35" s="140" t="s">
        <v>84</v>
      </c>
      <c r="C35" s="179">
        <v>24</v>
      </c>
      <c r="E35" s="151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</row>
    <row r="36" spans="1:17" ht="14.25" hidden="1" customHeight="1" x14ac:dyDescent="0.2">
      <c r="B36" s="139"/>
      <c r="C36" s="72"/>
      <c r="D36" s="72"/>
      <c r="E36" s="151">
        <f>COUNTIF(C10:E35,"x")</f>
        <v>0</v>
      </c>
      <c r="F36" s="72"/>
      <c r="G36" s="72"/>
      <c r="H36" s="73">
        <f>COUNTIF(H28:H35,"x")</f>
        <v>0</v>
      </c>
      <c r="I36" s="72"/>
      <c r="J36" s="72"/>
      <c r="K36" s="73">
        <f>COUNTIF(K28:K35,"x")</f>
        <v>0</v>
      </c>
      <c r="L36" s="22"/>
      <c r="M36" s="22"/>
      <c r="N36" s="73">
        <f>COUNTIF(N28:N35,"x")</f>
        <v>0</v>
      </c>
      <c r="O36" s="22"/>
      <c r="P36" s="22"/>
      <c r="Q36" s="73">
        <f>COUNTIF(Q28:Q35,"x")</f>
        <v>0</v>
      </c>
    </row>
    <row r="37" spans="1:17" ht="25.5" hidden="1" customHeight="1" x14ac:dyDescent="0.2">
      <c r="B37" s="141" t="s">
        <v>9</v>
      </c>
      <c r="C37" s="22"/>
      <c r="D37" s="22"/>
      <c r="E37" s="152" t="str">
        <f>IF(E36&gt;1,"enter only one X","-")</f>
        <v>-</v>
      </c>
      <c r="F37" s="22"/>
      <c r="G37" s="22"/>
      <c r="H37" s="74" t="str">
        <f>IF(H36&gt;1,"enter only one X","-")</f>
        <v>-</v>
      </c>
      <c r="I37" s="22"/>
      <c r="J37" s="22"/>
      <c r="K37" s="74" t="str">
        <f>IF(K36&gt;1,"enter only one X","-")</f>
        <v>-</v>
      </c>
      <c r="L37" s="21" t="str">
        <f>IF(N28="x",#REF!,IF(N29="x",#REF!,IF(N30="x",#REF!,IF(N31="x",#REF!,IF(N32="x",#REF!,IF(N33="x",L32,IF(N34="x",L33,IF(N35="x",L34,""))))))))</f>
        <v/>
      </c>
      <c r="M37" s="21"/>
      <c r="N37" s="74" t="str">
        <f>IF(N36&gt;1,"enter only one X","-")</f>
        <v>-</v>
      </c>
      <c r="O37" s="21" t="str">
        <f>IF(Q28="x",#REF!,IF(Q29="x",#REF!,IF(Q30="x",#REF!,IF(Q31="x",#REF!,IF(Q32="x",#REF!,IF(Q33="x",O32,IF(Q34="x",O33,IF(Q35="x",O34,""))))))))</f>
        <v/>
      </c>
      <c r="P37" s="21"/>
      <c r="Q37" s="74" t="str">
        <f>IF(Q36&gt;1,"enter only one X","-")</f>
        <v>-</v>
      </c>
    </row>
    <row r="38" spans="1:17" s="75" customFormat="1" ht="51.75" hidden="1" customHeight="1" x14ac:dyDescent="0.2">
      <c r="B38" s="141" t="str">
        <f>IF(E28="x",B28,IF(E29="x",B29,IF(E30="x",B30,IF(E31="x",B31,IF(E32="x",B32,IF(E33="x",B33,IF(E34="x",B34,IF(E35="x",B35,""))))))))</f>
        <v/>
      </c>
      <c r="C38" s="21"/>
      <c r="D38" s="21"/>
      <c r="E38" s="153"/>
      <c r="F38" s="21" t="str">
        <f>IF(H28="x",F28,IF(H29="x",F29,IF(H30="x",F30,IF(H31="x",F31,IF(H32="x",F32,IF(H33="x",F33,IF(H34="x",F34,IF(H35="x",F35,""))))))))</f>
        <v/>
      </c>
      <c r="G38" s="21"/>
      <c r="H38" s="23" t="str">
        <f>IF(H28="X",G28,IF(H29="X",G29,IF(H30="X",G30,IF(H31="X",G31,IF(H32="X",G32,IF(H33="X",G33,IF(H34="X",G34,IF(H35="X",G35,"please enter a valid option"))))))))</f>
        <v>please enter a valid option</v>
      </c>
      <c r="I38" s="21" t="str">
        <f>IF(K28="x",I28,IF(K29="x",I29,IF(K30="x",I30,IF(K31="x",I31,IF(K32="x",I32,IF(K33="x",I33,IF(K34="x",I34,IF(K35="x",I35,""))))))))</f>
        <v/>
      </c>
      <c r="J38" s="21"/>
      <c r="K38" s="23" t="str">
        <f>IF(K28="X",J28,IF(K29="X",J29,IF(K30="X",J30,IF(K31="X",J31,IF(K32="X",J32,IF(K33="X",J33,IF(K34="X",J34,IF(K35="X",J35,"please enter a valid option"))))))))</f>
        <v>please enter a valid option</v>
      </c>
      <c r="L38" s="27"/>
      <c r="M38" s="27"/>
      <c r="N38" s="23" t="str">
        <f>IF(N28="X",#REF!,IF(N29="X",#REF!,IF(N30="X",#REF!,IF(N31="X",#REF!,IF(N32="X",#REF!,IF(N33="X",M32,IF(N34="X",M33,IF(N35="X",M34,"please enter a valid option"))))))))</f>
        <v>please enter a valid option</v>
      </c>
      <c r="O38" s="27"/>
      <c r="P38" s="27"/>
      <c r="Q38" s="23" t="str">
        <f>IF(Q28="X",#REF!,IF(Q29="X",#REF!,IF(Q30="X",#REF!,IF(Q31="X",#REF!,IF(Q32="X",#REF!,IF(Q33="X",P32,IF(Q34="X",P33,IF(Q35="X",P34,"please enter a valid option"))))))))</f>
        <v>please enter a valid option</v>
      </c>
    </row>
    <row r="39" spans="1:17" s="27" customFormat="1" hidden="1" x14ac:dyDescent="0.2">
      <c r="B39" s="142"/>
      <c r="E39" s="80"/>
    </row>
    <row r="40" spans="1:17" s="27" customFormat="1" x14ac:dyDescent="0.2">
      <c r="B40" s="142"/>
      <c r="E40" s="80"/>
    </row>
    <row r="41" spans="1:17" s="27" customFormat="1" x14ac:dyDescent="0.2">
      <c r="E41" s="80"/>
      <c r="L41" s="32"/>
      <c r="M41" s="32"/>
    </row>
    <row r="42" spans="1:17" x14ac:dyDescent="0.2">
      <c r="A42" s="143" t="s">
        <v>243</v>
      </c>
      <c r="B42" s="313">
        <v>710</v>
      </c>
      <c r="C42" s="27"/>
      <c r="D42" s="27"/>
      <c r="F42" s="222"/>
      <c r="H42" s="35"/>
      <c r="I42" s="35"/>
      <c r="J42" s="35"/>
    </row>
    <row r="43" spans="1:17" x14ac:dyDescent="0.2">
      <c r="J43" s="27"/>
    </row>
    <row r="44" spans="1:17" ht="13.5" thickBot="1" x14ac:dyDescent="0.25">
      <c r="A44" s="32" t="s">
        <v>218</v>
      </c>
    </row>
    <row r="45" spans="1:17" ht="13.5" thickBot="1" x14ac:dyDescent="0.25">
      <c r="A45" s="316" t="s">
        <v>244</v>
      </c>
      <c r="B45" s="317"/>
      <c r="C45" s="318"/>
      <c r="D45" s="319"/>
      <c r="E45" s="315" t="str">
        <f>IF(ISERROR($B42*$E$10*$E$12*$E$14*$E$16),"£0",($B42*$E$10*$E$12*$E$14*$E$16))</f>
        <v>£0</v>
      </c>
    </row>
    <row r="46" spans="1:17" x14ac:dyDescent="0.2">
      <c r="B46" s="32" t="s">
        <v>48</v>
      </c>
    </row>
    <row r="47" spans="1:17" x14ac:dyDescent="0.2">
      <c r="B47" s="355" t="s">
        <v>227</v>
      </c>
    </row>
    <row r="48" spans="1:17" ht="13.5" thickBot="1" x14ac:dyDescent="0.25">
      <c r="B48" s="312"/>
    </row>
    <row r="49" spans="1:5" ht="13.5" thickBot="1" x14ac:dyDescent="0.25">
      <c r="A49" s="316" t="s">
        <v>245</v>
      </c>
      <c r="B49" s="317"/>
      <c r="C49" s="318"/>
      <c r="D49" s="319"/>
      <c r="E49" s="315" t="str">
        <f>IF(ISERROR($B42*$E$10*$E$12*$E$14*$E$18),"£0",($B42*$E$10*$E$12*$E$14*$E$18))</f>
        <v>£0</v>
      </c>
    </row>
    <row r="52" spans="1:5" ht="18.75" x14ac:dyDescent="0.3">
      <c r="A52" s="358"/>
    </row>
    <row r="53" spans="1:5" ht="18" x14ac:dyDescent="0.25">
      <c r="A53" s="357"/>
    </row>
    <row r="54" spans="1:5" x14ac:dyDescent="0.2">
      <c r="A54" s="17"/>
    </row>
  </sheetData>
  <sheetProtection selectLockedCells="1"/>
  <phoneticPr fontId="4" type="noConversion"/>
  <hyperlinks>
    <hyperlink ref="A1" r:id="rId1" display="http://www.sepa.org.uk/about_us/charging_schemes/idoc.ashx?docid=fa5cc388-fcb0-43f9-a044-b8e1b91c21f1&amp;version=-1"/>
    <hyperlink ref="A2" r:id="rId2" display="http://www.sepa.org.uk/about_us/charging_schemes/idoc.ashx?docid=fa5cc388-fcb0-43f9-a044-b8e1b91c21f1&amp;version=-1"/>
  </hyperlinks>
  <pageMargins left="0.75" right="0.75" top="1" bottom="1" header="0.5" footer="0.5"/>
  <pageSetup paperSize="9" orientation="landscape" verticalDpi="0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6" name="Drop Down 5">
              <controlPr locked="0" defaultSize="0" autoLine="0" autoPict="0">
                <anchor moveWithCells="1">
                  <from>
                    <xdr:col>1</xdr:col>
                    <xdr:colOff>9525</xdr:colOff>
                    <xdr:row>9</xdr:row>
                    <xdr:rowOff>47625</xdr:rowOff>
                  </from>
                  <to>
                    <xdr:col>1</xdr:col>
                    <xdr:colOff>2705100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Drop Down 8">
              <controlPr locked="0" defaultSize="0" autoLine="0" autoPict="0">
                <anchor moveWithCells="1">
                  <from>
                    <xdr:col>1</xdr:col>
                    <xdr:colOff>0</xdr:colOff>
                    <xdr:row>11</xdr:row>
                    <xdr:rowOff>47625</xdr:rowOff>
                  </from>
                  <to>
                    <xdr:col>1</xdr:col>
                    <xdr:colOff>2695575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Drop Down 9">
              <controlPr locked="0" defaultSize="0" autoLine="0" autoPict="0">
                <anchor moveWithCells="1">
                  <from>
                    <xdr:col>1</xdr:col>
                    <xdr:colOff>0</xdr:colOff>
                    <xdr:row>13</xdr:row>
                    <xdr:rowOff>47625</xdr:rowOff>
                  </from>
                  <to>
                    <xdr:col>1</xdr:col>
                    <xdr:colOff>2695575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Drop Down 23">
              <controlPr locked="0" defaultSize="0" autoLine="0" autoPict="0">
                <anchor moveWithCells="1">
                  <from>
                    <xdr:col>1</xdr:col>
                    <xdr:colOff>0</xdr:colOff>
                    <xdr:row>15</xdr:row>
                    <xdr:rowOff>47625</xdr:rowOff>
                  </from>
                  <to>
                    <xdr:col>1</xdr:col>
                    <xdr:colOff>2695575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Drop Down 25">
              <controlPr locked="0" defaultSize="0" autoLine="0" autoPict="0" macro="[0]!DropDown25_Change">
                <anchor moveWithCells="1">
                  <from>
                    <xdr:col>1</xdr:col>
                    <xdr:colOff>0</xdr:colOff>
                    <xdr:row>17</xdr:row>
                    <xdr:rowOff>47625</xdr:rowOff>
                  </from>
                  <to>
                    <xdr:col>1</xdr:col>
                    <xdr:colOff>2695575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1" name="Drop Down 29">
              <controlPr locked="0" defaultSize="0" autoLine="0" autoPict="0">
                <anchor moveWithCells="1">
                  <from>
                    <xdr:col>1</xdr:col>
                    <xdr:colOff>0</xdr:colOff>
                    <xdr:row>17</xdr:row>
                    <xdr:rowOff>47625</xdr:rowOff>
                  </from>
                  <to>
                    <xdr:col>1</xdr:col>
                    <xdr:colOff>2695575</xdr:colOff>
                    <xdr:row>17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L37"/>
  <sheetViews>
    <sheetView workbookViewId="0">
      <selection activeCell="A2" sqref="A2"/>
    </sheetView>
  </sheetViews>
  <sheetFormatPr defaultRowHeight="12.75" x14ac:dyDescent="0.2"/>
  <cols>
    <col min="1" max="1" width="27.28515625" style="76" customWidth="1"/>
    <col min="2" max="2" width="34.85546875" style="76" customWidth="1"/>
    <col min="3" max="3" width="5.140625" style="76" hidden="1" customWidth="1"/>
    <col min="4" max="4" width="5.7109375" style="76" customWidth="1"/>
    <col min="5" max="5" width="13.5703125" style="76" customWidth="1"/>
    <col min="6" max="6" width="32.140625" style="76" customWidth="1"/>
    <col min="7" max="7" width="9.28515625" style="76" customWidth="1"/>
    <col min="8" max="8" width="6.7109375" style="76" customWidth="1"/>
    <col min="9" max="9" width="32" style="76" customWidth="1"/>
    <col min="10" max="10" width="7.42578125" style="76" customWidth="1"/>
    <col min="11" max="11" width="14.140625" style="76" customWidth="1"/>
    <col min="12" max="16384" width="9.140625" style="76"/>
  </cols>
  <sheetData>
    <row r="1" spans="1:12" ht="16.5" x14ac:dyDescent="0.25">
      <c r="A1" s="359" t="s">
        <v>249</v>
      </c>
    </row>
    <row r="2" spans="1:12" ht="16.5" x14ac:dyDescent="0.25">
      <c r="A2" s="359" t="s">
        <v>250</v>
      </c>
    </row>
    <row r="4" spans="1:12" ht="13.5" thickBot="1" x14ac:dyDescent="0.25"/>
    <row r="5" spans="1:12" s="83" customFormat="1" ht="15.75" thickBot="1" x14ac:dyDescent="0.3">
      <c r="A5" s="311" t="s">
        <v>45</v>
      </c>
      <c r="B5" s="310"/>
      <c r="C5" s="84"/>
      <c r="D5" s="84"/>
      <c r="E5" s="84"/>
      <c r="F5" s="84"/>
      <c r="G5" s="84"/>
      <c r="H5" s="84"/>
      <c r="I5" s="84"/>
      <c r="J5" s="25"/>
      <c r="K5" s="25"/>
      <c r="L5" s="25"/>
    </row>
    <row r="6" spans="1:12" s="83" customFormat="1" ht="15" x14ac:dyDescent="0.25">
      <c r="A6" s="174"/>
      <c r="C6" s="24"/>
      <c r="D6" s="24"/>
      <c r="E6" s="24"/>
      <c r="F6" s="24"/>
      <c r="G6" s="24"/>
      <c r="H6" s="24"/>
      <c r="I6" s="24"/>
      <c r="J6" s="25"/>
      <c r="K6" s="25"/>
      <c r="L6" s="25"/>
    </row>
    <row r="7" spans="1:12" ht="18" customHeight="1" x14ac:dyDescent="0.2">
      <c r="A7" s="32"/>
      <c r="B7" s="324" t="s">
        <v>134</v>
      </c>
      <c r="C7" s="32"/>
      <c r="D7" s="32"/>
      <c r="E7" s="32"/>
      <c r="F7" s="32"/>
      <c r="G7" s="32"/>
      <c r="H7" s="32"/>
      <c r="I7" s="32"/>
      <c r="J7" s="27"/>
      <c r="K7" s="27"/>
      <c r="L7" s="27"/>
    </row>
    <row r="8" spans="1:12" s="31" customFormat="1" x14ac:dyDescent="0.2">
      <c r="A8" s="1"/>
      <c r="B8" s="1"/>
      <c r="C8" s="1"/>
      <c r="D8" s="1"/>
      <c r="E8" s="33" t="s">
        <v>42</v>
      </c>
      <c r="G8" s="34"/>
      <c r="H8" s="33"/>
      <c r="J8" s="35"/>
      <c r="K8" s="36"/>
      <c r="L8" s="35"/>
    </row>
    <row r="9" spans="1:12" ht="7.5" customHeight="1" x14ac:dyDescent="0.2">
      <c r="A9" s="32"/>
      <c r="B9" s="32"/>
      <c r="C9" s="32"/>
      <c r="D9" s="32"/>
      <c r="E9" s="32"/>
      <c r="F9" s="32"/>
      <c r="G9" s="32"/>
      <c r="H9" s="32"/>
      <c r="I9" s="32"/>
      <c r="J9" s="27"/>
      <c r="K9" s="27"/>
      <c r="L9" s="27"/>
    </row>
    <row r="10" spans="1:12" ht="22.5" customHeight="1" x14ac:dyDescent="0.2">
      <c r="A10" s="1" t="s">
        <v>49</v>
      </c>
      <c r="B10" s="32"/>
      <c r="C10" s="135">
        <v>1</v>
      </c>
      <c r="D10" s="32"/>
      <c r="E10" s="26" t="str">
        <f>IF(C10=2,0.3,IF(C10=3,0.5,IF(C10=4,1,"please enter a valid option")))</f>
        <v>please enter a valid option</v>
      </c>
      <c r="F10" s="32"/>
      <c r="G10" s="32"/>
      <c r="I10" s="32"/>
      <c r="J10" s="27"/>
      <c r="K10" s="27"/>
      <c r="L10" s="27"/>
    </row>
    <row r="11" spans="1:12" x14ac:dyDescent="0.2">
      <c r="A11" s="32"/>
      <c r="B11" s="32"/>
      <c r="C11" s="135"/>
      <c r="D11" s="32"/>
      <c r="E11" s="32"/>
      <c r="F11" s="32"/>
      <c r="G11" s="32"/>
      <c r="H11" s="32"/>
      <c r="I11" s="32"/>
      <c r="J11" s="27"/>
      <c r="K11" s="27"/>
      <c r="L11" s="27"/>
    </row>
    <row r="12" spans="1:12" ht="13.5" customHeight="1" x14ac:dyDescent="0.2">
      <c r="A12" s="32"/>
      <c r="B12" s="32"/>
      <c r="C12" s="135"/>
      <c r="D12" s="32"/>
      <c r="E12" s="32"/>
      <c r="F12" s="32"/>
      <c r="G12" s="32"/>
      <c r="H12" s="32"/>
      <c r="I12" s="32"/>
      <c r="J12" s="27"/>
      <c r="K12" s="27"/>
      <c r="L12" s="27"/>
    </row>
    <row r="13" spans="1:12" ht="23.25" customHeight="1" x14ac:dyDescent="0.2">
      <c r="A13" s="1" t="s">
        <v>69</v>
      </c>
      <c r="B13" s="32"/>
      <c r="C13" s="135">
        <v>1</v>
      </c>
      <c r="D13" s="32"/>
      <c r="E13" s="26" t="str">
        <f>IF(C13=2,2,"please enter a valid option")</f>
        <v>please enter a valid option</v>
      </c>
      <c r="F13" s="32"/>
      <c r="G13" s="32"/>
      <c r="H13" s="32"/>
      <c r="I13" s="32"/>
      <c r="J13" s="27"/>
      <c r="K13" s="27"/>
      <c r="L13" s="27"/>
    </row>
    <row r="14" spans="1:12" ht="13.5" customHeight="1" x14ac:dyDescent="0.2">
      <c r="A14" s="32"/>
      <c r="B14" s="32"/>
      <c r="C14" s="135"/>
      <c r="D14" s="32"/>
      <c r="E14" s="32"/>
      <c r="F14" s="32"/>
      <c r="G14" s="32"/>
      <c r="H14" s="32"/>
      <c r="I14" s="32"/>
      <c r="J14" s="27"/>
      <c r="K14" s="27"/>
      <c r="L14" s="27"/>
    </row>
    <row r="15" spans="1:12" ht="13.5" customHeight="1" x14ac:dyDescent="0.2">
      <c r="A15" s="32"/>
      <c r="B15" s="32"/>
      <c r="C15" s="135"/>
      <c r="D15" s="32"/>
      <c r="E15" s="32"/>
      <c r="F15" s="32"/>
      <c r="G15" s="32"/>
      <c r="H15" s="32"/>
      <c r="I15" s="32"/>
      <c r="J15" s="27"/>
      <c r="K15" s="27"/>
      <c r="L15" s="27"/>
    </row>
    <row r="16" spans="1:12" ht="24" customHeight="1" x14ac:dyDescent="0.2">
      <c r="A16" s="1" t="s">
        <v>70</v>
      </c>
      <c r="B16" s="32"/>
      <c r="C16" s="135">
        <v>1</v>
      </c>
      <c r="D16" s="32"/>
      <c r="E16" s="26" t="str">
        <f>IF(C16=2,0.5,"please enter a valid option")</f>
        <v>please enter a valid option</v>
      </c>
      <c r="F16" s="32"/>
      <c r="G16" s="32"/>
      <c r="H16" s="32"/>
      <c r="I16" s="32"/>
      <c r="J16" s="27"/>
      <c r="K16" s="27"/>
      <c r="L16" s="27"/>
    </row>
    <row r="17" spans="1:12" x14ac:dyDescent="0.2">
      <c r="A17" s="32"/>
      <c r="B17" s="32"/>
      <c r="C17" s="32"/>
      <c r="D17" s="32"/>
      <c r="E17" s="32"/>
      <c r="F17" s="32"/>
      <c r="G17" s="32"/>
      <c r="H17" s="32"/>
      <c r="I17" s="32"/>
      <c r="J17" s="27"/>
      <c r="K17" s="27"/>
      <c r="L17" s="27"/>
    </row>
    <row r="18" spans="1:12" x14ac:dyDescent="0.2">
      <c r="A18" s="32"/>
      <c r="B18" s="32"/>
      <c r="C18" s="32"/>
      <c r="D18" s="32"/>
      <c r="E18" s="32"/>
      <c r="F18" s="32"/>
      <c r="G18" s="32"/>
      <c r="H18" s="32"/>
      <c r="I18" s="32"/>
      <c r="J18" s="27"/>
      <c r="K18" s="27"/>
      <c r="L18" s="27"/>
    </row>
    <row r="19" spans="1:12" ht="19.5" hidden="1" customHeight="1" x14ac:dyDescent="0.2">
      <c r="A19" s="32"/>
      <c r="B19" s="32"/>
      <c r="C19" s="32"/>
      <c r="D19" s="32"/>
      <c r="E19" s="32"/>
      <c r="F19" s="32"/>
      <c r="G19" s="32"/>
      <c r="H19" s="32"/>
      <c r="I19" s="32"/>
      <c r="J19" s="27"/>
      <c r="K19" s="27"/>
      <c r="L19" s="27"/>
    </row>
    <row r="20" spans="1:12" hidden="1" x14ac:dyDescent="0.2">
      <c r="A20" s="32"/>
      <c r="B20" s="32"/>
      <c r="C20" s="32"/>
      <c r="D20" s="32"/>
      <c r="E20" s="32"/>
      <c r="F20" s="32"/>
      <c r="G20" s="32"/>
      <c r="H20" s="32"/>
      <c r="I20" s="32"/>
      <c r="J20" s="27"/>
      <c r="K20" s="27"/>
      <c r="L20" s="27"/>
    </row>
    <row r="21" spans="1:12" hidden="1" x14ac:dyDescent="0.2">
      <c r="A21" s="32"/>
      <c r="B21" s="32"/>
      <c r="C21" s="32"/>
      <c r="D21" s="32"/>
      <c r="E21" s="32"/>
      <c r="F21" s="32"/>
      <c r="G21" s="32"/>
      <c r="H21" s="32"/>
      <c r="I21" s="32"/>
      <c r="J21" s="27"/>
      <c r="K21" s="27"/>
      <c r="L21" s="27"/>
    </row>
    <row r="22" spans="1:12" hidden="1" x14ac:dyDescent="0.2">
      <c r="A22" s="32"/>
      <c r="B22" s="32"/>
      <c r="C22" s="32"/>
      <c r="D22" s="32"/>
      <c r="E22" s="32"/>
      <c r="F22" s="32"/>
      <c r="G22" s="32"/>
      <c r="H22" s="32"/>
      <c r="I22" s="32"/>
      <c r="J22" s="27"/>
      <c r="K22" s="27"/>
      <c r="L22" s="27"/>
    </row>
    <row r="23" spans="1:12" hidden="1" x14ac:dyDescent="0.2">
      <c r="A23" s="32"/>
      <c r="B23" s="32"/>
      <c r="C23" s="32"/>
      <c r="D23" s="32"/>
      <c r="E23" s="32"/>
      <c r="F23" s="32"/>
      <c r="G23" s="32"/>
      <c r="H23" s="32"/>
      <c r="I23" s="32"/>
      <c r="J23" s="27"/>
      <c r="K23" s="27"/>
      <c r="L23" s="27"/>
    </row>
    <row r="24" spans="1:12" hidden="1" x14ac:dyDescent="0.2">
      <c r="A24" s="32"/>
      <c r="B24" s="32" t="s">
        <v>137</v>
      </c>
      <c r="C24" s="32"/>
      <c r="D24" s="32"/>
      <c r="E24" s="32"/>
      <c r="F24" s="32" t="s">
        <v>137</v>
      </c>
      <c r="G24" s="32"/>
      <c r="H24" s="32"/>
      <c r="I24" s="32" t="s">
        <v>137</v>
      </c>
      <c r="J24" s="27"/>
      <c r="K24" s="27"/>
      <c r="L24" s="27"/>
    </row>
    <row r="25" spans="1:12" hidden="1" x14ac:dyDescent="0.2">
      <c r="A25" s="367" t="s">
        <v>6</v>
      </c>
      <c r="B25" s="72" t="s">
        <v>95</v>
      </c>
      <c r="C25" s="77">
        <v>0.3</v>
      </c>
      <c r="D25" s="77"/>
      <c r="E25" s="78"/>
      <c r="F25" s="13" t="s">
        <v>98</v>
      </c>
      <c r="G25" s="13">
        <v>2</v>
      </c>
      <c r="H25" s="13"/>
      <c r="I25" s="79" t="s">
        <v>99</v>
      </c>
      <c r="J25" s="27">
        <v>0.5</v>
      </c>
      <c r="K25" s="80"/>
      <c r="L25" s="27"/>
    </row>
    <row r="26" spans="1:12" hidden="1" x14ac:dyDescent="0.2">
      <c r="A26" s="367"/>
      <c r="B26" s="72" t="s">
        <v>97</v>
      </c>
      <c r="C26" s="77">
        <v>0.5</v>
      </c>
      <c r="D26" s="77"/>
      <c r="E26" s="78"/>
      <c r="F26" s="13"/>
      <c r="G26" s="13"/>
      <c r="H26" s="13"/>
      <c r="I26" s="79"/>
      <c r="J26" s="80"/>
      <c r="K26" s="80"/>
      <c r="L26" s="27"/>
    </row>
    <row r="27" spans="1:12" hidden="1" x14ac:dyDescent="0.2">
      <c r="A27" s="367"/>
      <c r="B27" s="72" t="s">
        <v>96</v>
      </c>
      <c r="C27" s="77">
        <v>1</v>
      </c>
      <c r="D27" s="77"/>
      <c r="E27" s="78"/>
      <c r="F27" s="13"/>
      <c r="G27" s="13"/>
      <c r="H27" s="13"/>
      <c r="I27" s="79"/>
      <c r="J27" s="80"/>
      <c r="K27" s="80"/>
      <c r="L27" s="27"/>
    </row>
    <row r="28" spans="1:12" s="81" customFormat="1" ht="24" hidden="1" customHeight="1" x14ac:dyDescent="0.2">
      <c r="A28" s="27"/>
      <c r="C28" s="27"/>
      <c r="D28" s="27"/>
      <c r="G28" s="27"/>
      <c r="H28" s="27"/>
      <c r="I28" s="27"/>
      <c r="J28" s="27"/>
      <c r="K28" s="27"/>
      <c r="L28" s="27"/>
    </row>
    <row r="29" spans="1:12" s="81" customFormat="1" x14ac:dyDescent="0.2">
      <c r="A29" s="27"/>
      <c r="B29" s="27"/>
      <c r="C29" s="27"/>
      <c r="D29" s="27"/>
      <c r="E29" s="27"/>
      <c r="G29" s="27"/>
      <c r="H29" s="27"/>
      <c r="I29" s="27"/>
      <c r="J29" s="27"/>
      <c r="K29" s="27"/>
      <c r="L29" s="27"/>
    </row>
    <row r="30" spans="1:12" x14ac:dyDescent="0.2">
      <c r="A30" s="38" t="s">
        <v>243</v>
      </c>
      <c r="B30" s="325">
        <v>395</v>
      </c>
      <c r="C30" s="82"/>
      <c r="D30" s="27"/>
      <c r="G30" s="27"/>
      <c r="H30" s="35"/>
      <c r="I30" s="35"/>
      <c r="J30" s="35"/>
      <c r="K30" s="27"/>
      <c r="L30" s="27"/>
    </row>
    <row r="31" spans="1:12" ht="13.5" thickBot="1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27"/>
      <c r="K31" s="27"/>
      <c r="L31" s="27"/>
    </row>
    <row r="32" spans="1:12" ht="13.5" thickBot="1" x14ac:dyDescent="0.25">
      <c r="A32" s="321" t="s">
        <v>246</v>
      </c>
      <c r="B32" s="317"/>
      <c r="C32" s="317"/>
      <c r="D32" s="319"/>
      <c r="E32" s="320" t="str">
        <f>IF(ISERROR(B30*$E$10*$E$13*$E$16),"£0",(B30*$E$10*$E$13*$E$16))</f>
        <v>£0</v>
      </c>
      <c r="F32" s="32"/>
      <c r="G32" s="32"/>
      <c r="H32" s="32"/>
      <c r="I32" s="32"/>
      <c r="J32" s="27"/>
      <c r="K32" s="27"/>
      <c r="L32" s="27"/>
    </row>
    <row r="35" spans="1:1" ht="18.75" x14ac:dyDescent="0.3">
      <c r="A35" s="358"/>
    </row>
    <row r="36" spans="1:1" ht="18" x14ac:dyDescent="0.25">
      <c r="A36" s="357"/>
    </row>
    <row r="37" spans="1:1" x14ac:dyDescent="0.2">
      <c r="A37" s="17"/>
    </row>
  </sheetData>
  <sheetProtection selectLockedCells="1"/>
  <mergeCells count="1">
    <mergeCell ref="A25:A27"/>
  </mergeCells>
  <phoneticPr fontId="4" type="noConversion"/>
  <hyperlinks>
    <hyperlink ref="A1" r:id="rId1" display="http://www.sepa.org.uk/about_us/charging_schemes/idoc.ashx?docid=fa5cc388-fcb0-43f9-a044-b8e1b91c21f1&amp;version=-1"/>
    <hyperlink ref="A2" r:id="rId2" display="http://www.sepa.org.uk/about_us/charging_schemes/idoc.ashx?docid=fa5cc388-fcb0-43f9-a044-b8e1b91c21f1&amp;version=-1"/>
  </hyperlinks>
  <pageMargins left="0.75" right="0.75" top="1" bottom="1" header="0.5" footer="0.5"/>
  <pageSetup paperSize="9" orientation="landscape" verticalDpi="0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6" name="Drop Down 2">
              <controlPr locked="0" defaultSize="0" autoLine="0" autoPict="0">
                <anchor moveWithCells="1">
                  <from>
                    <xdr:col>1</xdr:col>
                    <xdr:colOff>38100</xdr:colOff>
                    <xdr:row>9</xdr:row>
                    <xdr:rowOff>0</xdr:rowOff>
                  </from>
                  <to>
                    <xdr:col>3</xdr:col>
                    <xdr:colOff>9525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Drop Down 7">
              <controlPr defaultSize="0" autoLine="0" autoPict="0">
                <anchor moveWithCells="1">
                  <from>
                    <xdr:col>1</xdr:col>
                    <xdr:colOff>38100</xdr:colOff>
                    <xdr:row>12</xdr:row>
                    <xdr:rowOff>0</xdr:rowOff>
                  </from>
                  <to>
                    <xdr:col>3</xdr:col>
                    <xdr:colOff>19050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Drop Down 8">
              <controlPr locked="0" defaultSize="0" autoLine="0" autoPict="0">
                <anchor moveWithCells="1">
                  <from>
                    <xdr:col>1</xdr:col>
                    <xdr:colOff>38100</xdr:colOff>
                    <xdr:row>15</xdr:row>
                    <xdr:rowOff>0</xdr:rowOff>
                  </from>
                  <to>
                    <xdr:col>3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T40"/>
  <sheetViews>
    <sheetView workbookViewId="0">
      <selection activeCell="A2" sqref="A2"/>
    </sheetView>
  </sheetViews>
  <sheetFormatPr defaultColWidth="10.42578125" defaultRowHeight="25.5" customHeight="1" x14ac:dyDescent="0.2"/>
  <cols>
    <col min="1" max="1" width="27" style="39" customWidth="1"/>
    <col min="2" max="2" width="59.7109375" style="39" customWidth="1"/>
    <col min="3" max="3" width="6.140625" style="39" hidden="1" customWidth="1"/>
    <col min="4" max="4" width="7" style="39" customWidth="1"/>
    <col min="5" max="5" width="15.28515625" style="39" customWidth="1"/>
    <col min="6" max="6" width="18" style="39" customWidth="1"/>
    <col min="7" max="7" width="68" style="39" customWidth="1"/>
    <col min="8" max="8" width="53.5703125" style="39" customWidth="1"/>
    <col min="9" max="9" width="22" style="39" customWidth="1"/>
    <col min="10" max="10" width="7.85546875" style="39" customWidth="1"/>
    <col min="11" max="11" width="39.28515625" style="39" customWidth="1"/>
    <col min="12" max="12" width="12.140625" style="39" customWidth="1"/>
    <col min="13" max="13" width="6.42578125" style="39" customWidth="1"/>
    <col min="14" max="14" width="59.5703125" style="39" customWidth="1"/>
    <col min="15" max="15" width="8.140625" style="39" customWidth="1"/>
    <col min="16" max="16" width="10.7109375" style="39" customWidth="1"/>
    <col min="17" max="17" width="21.85546875" style="39" customWidth="1"/>
    <col min="18" max="18" width="6.28515625" style="39" hidden="1" customWidth="1"/>
    <col min="19" max="19" width="5.7109375" style="39" hidden="1" customWidth="1"/>
    <col min="20" max="20" width="8.5703125" style="39" customWidth="1"/>
    <col min="21" max="16384" width="10.42578125" style="39"/>
  </cols>
  <sheetData>
    <row r="1" spans="1:20" ht="25.5" customHeight="1" x14ac:dyDescent="0.25">
      <c r="A1" s="359" t="s">
        <v>249</v>
      </c>
    </row>
    <row r="2" spans="1:20" ht="25.5" customHeight="1" x14ac:dyDescent="0.25">
      <c r="A2" s="359" t="s">
        <v>250</v>
      </c>
    </row>
    <row r="4" spans="1:20" ht="25.5" customHeight="1" thickBot="1" x14ac:dyDescent="0.25"/>
    <row r="5" spans="1:20" s="25" customFormat="1" ht="18" customHeight="1" thickBot="1" x14ac:dyDescent="0.3">
      <c r="A5" s="311" t="s">
        <v>75</v>
      </c>
      <c r="B5" s="310"/>
      <c r="C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6"/>
    </row>
    <row r="6" spans="1:20" s="25" customFormat="1" ht="9" customHeight="1" x14ac:dyDescent="0.25">
      <c r="A6" s="174"/>
    </row>
    <row r="7" spans="1:20" ht="18" customHeight="1" x14ac:dyDescent="0.2">
      <c r="B7" s="176" t="s">
        <v>134</v>
      </c>
      <c r="C7" s="35"/>
      <c r="D7" s="35"/>
      <c r="E7" s="27"/>
      <c r="F7" s="27"/>
      <c r="G7" s="27"/>
    </row>
    <row r="8" spans="1:20" s="37" customFormat="1" ht="19.5" customHeight="1" x14ac:dyDescent="0.2">
      <c r="B8" s="35"/>
      <c r="C8" s="35"/>
      <c r="D8" s="35"/>
      <c r="E8" s="36" t="s">
        <v>42</v>
      </c>
      <c r="F8" s="36"/>
      <c r="G8" s="35"/>
      <c r="H8" s="36"/>
      <c r="I8" s="35"/>
      <c r="J8" s="35"/>
      <c r="K8" s="36"/>
    </row>
    <row r="9" spans="1:20" ht="21.75" customHeight="1" x14ac:dyDescent="0.2">
      <c r="A9" s="1" t="s">
        <v>49</v>
      </c>
      <c r="C9" s="142">
        <v>1</v>
      </c>
      <c r="D9" s="142"/>
      <c r="E9" s="161" t="str">
        <f>IF(C9=2,22.8,IF(C9=3,13.7,IF(C9=4,9.3,IF(C9=5,5,IF(C9=6,1,IF(C9=7,0.3,IF(C9=8,0,"please enter a valid option")))))))</f>
        <v>please enter a valid option</v>
      </c>
      <c r="F9" s="38"/>
      <c r="G9" s="38"/>
      <c r="H9" s="38"/>
      <c r="I9" s="38"/>
      <c r="K9" s="27"/>
    </row>
    <row r="10" spans="1:20" ht="18" customHeight="1" x14ac:dyDescent="0.2">
      <c r="A10" s="40"/>
      <c r="C10" s="154"/>
      <c r="D10" s="154"/>
      <c r="E10" s="162"/>
      <c r="F10" s="27"/>
      <c r="G10" s="27"/>
    </row>
    <row r="11" spans="1:20" ht="21.75" customHeight="1" x14ac:dyDescent="0.2">
      <c r="A11" s="1" t="s">
        <v>72</v>
      </c>
      <c r="C11" s="154">
        <v>1</v>
      </c>
      <c r="D11" s="154"/>
      <c r="E11" s="161" t="str">
        <f>IF(C11=2,0.3,IF(C11=3,1,IF(C11=4,1.1,"please enter a valid option")))</f>
        <v>please enter a valid option</v>
      </c>
      <c r="F11" s="27"/>
      <c r="G11" s="27"/>
    </row>
    <row r="12" spans="1:20" ht="16.5" customHeight="1" x14ac:dyDescent="0.2">
      <c r="A12" s="40"/>
      <c r="C12" s="154"/>
      <c r="D12" s="154"/>
      <c r="E12" s="162"/>
      <c r="F12" s="27"/>
      <c r="G12" s="27"/>
    </row>
    <row r="13" spans="1:20" ht="24" customHeight="1" x14ac:dyDescent="0.2">
      <c r="A13" s="30" t="s">
        <v>38</v>
      </c>
      <c r="C13" s="154">
        <v>1</v>
      </c>
      <c r="D13" s="154"/>
      <c r="E13" s="161" t="str">
        <f>IF(C13=2,0.2,IF(C13=3,0.9,IF(C13=4,1.3,IF(C13=5,1.9,"please enter a valid option"))))</f>
        <v>please enter a valid option</v>
      </c>
      <c r="F13" s="27"/>
      <c r="G13" s="27"/>
    </row>
    <row r="14" spans="1:20" ht="18" customHeight="1" x14ac:dyDescent="0.2">
      <c r="A14" s="1"/>
      <c r="C14" s="154"/>
      <c r="D14" s="154"/>
      <c r="E14" s="162"/>
      <c r="F14" s="27"/>
      <c r="G14" s="27"/>
    </row>
    <row r="15" spans="1:20" ht="24" customHeight="1" x14ac:dyDescent="0.2">
      <c r="A15" s="35" t="s">
        <v>73</v>
      </c>
      <c r="C15" s="154">
        <v>1</v>
      </c>
      <c r="D15" s="154"/>
      <c r="E15" s="161" t="str">
        <f>IF(C15=2,0.1,IF(C15=3,0.3,IF(C15=4,1,"please enter a valid option")))</f>
        <v>please enter a valid option</v>
      </c>
      <c r="F15" s="27"/>
      <c r="G15" s="27"/>
    </row>
    <row r="16" spans="1:20" ht="18" customHeight="1" x14ac:dyDescent="0.2">
      <c r="C16" s="154"/>
      <c r="D16" s="154"/>
      <c r="E16" s="162"/>
      <c r="F16" s="27"/>
      <c r="G16" s="27"/>
    </row>
    <row r="17" spans="1:19" ht="23.25" customHeight="1" x14ac:dyDescent="0.2">
      <c r="A17" s="35" t="s">
        <v>40</v>
      </c>
      <c r="B17" s="37"/>
      <c r="C17" s="154">
        <v>1</v>
      </c>
      <c r="D17" s="154"/>
      <c r="E17" s="161" t="str">
        <f>IF(C17=2,0.17,IF(C17=3,1,"please enter a valid option"))</f>
        <v>please enter a valid option</v>
      </c>
      <c r="F17" s="27"/>
      <c r="G17" s="27"/>
    </row>
    <row r="18" spans="1:19" ht="18" customHeight="1" x14ac:dyDescent="0.2">
      <c r="B18" s="37"/>
      <c r="C18" s="154"/>
      <c r="D18" s="154"/>
      <c r="E18" s="162"/>
      <c r="F18" s="27"/>
      <c r="G18" s="27"/>
    </row>
    <row r="19" spans="1:19" ht="22.5" customHeight="1" x14ac:dyDescent="0.2">
      <c r="A19" s="35" t="s">
        <v>41</v>
      </c>
      <c r="B19" s="37"/>
      <c r="C19" s="154">
        <v>1</v>
      </c>
      <c r="D19" s="154"/>
      <c r="E19" s="161" t="str">
        <f>IF(C19=2,1.05,IF(C19=3,1,IF(C19=4,0.95,"please enter a valid option")))</f>
        <v>please enter a valid option</v>
      </c>
      <c r="F19" s="27"/>
      <c r="G19" s="27"/>
    </row>
    <row r="20" spans="1:19" ht="18" customHeight="1" x14ac:dyDescent="0.2">
      <c r="B20" s="37"/>
      <c r="C20" s="154"/>
      <c r="D20" s="154"/>
      <c r="E20" s="162"/>
      <c r="F20" s="27"/>
      <c r="G20" s="27"/>
    </row>
    <row r="21" spans="1:19" ht="24" customHeight="1" x14ac:dyDescent="0.2">
      <c r="A21" s="35" t="s">
        <v>74</v>
      </c>
      <c r="B21" s="37"/>
      <c r="C21" s="154">
        <v>1</v>
      </c>
      <c r="D21" s="154"/>
      <c r="E21" s="161" t="str">
        <f>IF(C21=2,1,IF(C21=3,2,IF(C21=4,3.6,IF(C21=5,9.4,"please enter a valid option"))))</f>
        <v>please enter a valid option</v>
      </c>
      <c r="F21" s="221"/>
      <c r="G21" s="27"/>
    </row>
    <row r="22" spans="1:19" ht="18" customHeight="1" x14ac:dyDescent="0.2">
      <c r="A22" s="35"/>
      <c r="B22" s="37"/>
      <c r="C22" s="35"/>
      <c r="D22" s="35"/>
      <c r="E22" s="38"/>
      <c r="F22" s="221"/>
      <c r="G22" s="27"/>
    </row>
    <row r="23" spans="1:19" ht="18" hidden="1" customHeight="1" x14ac:dyDescent="0.2">
      <c r="B23" s="37"/>
      <c r="C23" s="35"/>
      <c r="D23" s="35"/>
      <c r="E23" s="27"/>
      <c r="F23" s="27"/>
      <c r="G23" s="27"/>
    </row>
    <row r="24" spans="1:19" s="35" customFormat="1" ht="23.25" hidden="1" customHeight="1" x14ac:dyDescent="0.2">
      <c r="A24" s="41" t="s">
        <v>4</v>
      </c>
      <c r="B24" s="42" t="s">
        <v>42</v>
      </c>
      <c r="C24" s="42"/>
      <c r="E24" s="35" t="s">
        <v>37</v>
      </c>
      <c r="F24" s="42" t="s">
        <v>43</v>
      </c>
      <c r="G24" s="43" t="s">
        <v>38</v>
      </c>
      <c r="H24" s="108" t="s">
        <v>39</v>
      </c>
      <c r="I24" s="108" t="s">
        <v>43</v>
      </c>
      <c r="J24" s="108"/>
      <c r="K24" s="109" t="s">
        <v>40</v>
      </c>
      <c r="L24" s="108" t="s">
        <v>43</v>
      </c>
      <c r="M24" s="110"/>
      <c r="N24" s="108" t="s">
        <v>41</v>
      </c>
      <c r="O24" s="108" t="s">
        <v>43</v>
      </c>
      <c r="P24" s="108"/>
      <c r="Q24" s="109" t="s">
        <v>10</v>
      </c>
      <c r="R24" s="108"/>
      <c r="S24" s="110"/>
    </row>
    <row r="25" spans="1:19" s="35" customFormat="1" ht="23.25" hidden="1" customHeight="1" thickBot="1" x14ac:dyDescent="0.25">
      <c r="A25" s="159" t="s">
        <v>137</v>
      </c>
      <c r="E25" s="159" t="s">
        <v>137</v>
      </c>
      <c r="G25" s="159" t="s">
        <v>137</v>
      </c>
      <c r="H25" s="159" t="s">
        <v>137</v>
      </c>
      <c r="I25" s="22"/>
      <c r="J25" s="22"/>
      <c r="K25" s="159" t="s">
        <v>137</v>
      </c>
      <c r="L25" s="22"/>
      <c r="M25" s="160"/>
      <c r="N25" s="159" t="s">
        <v>137</v>
      </c>
      <c r="O25" s="22"/>
      <c r="P25" s="22"/>
      <c r="Q25" s="159" t="s">
        <v>137</v>
      </c>
      <c r="R25" s="22"/>
      <c r="S25" s="22"/>
    </row>
    <row r="26" spans="1:19" ht="15.95" hidden="1" customHeight="1" x14ac:dyDescent="0.2">
      <c r="A26" s="44" t="s">
        <v>100</v>
      </c>
      <c r="B26" s="45">
        <v>22.8</v>
      </c>
      <c r="C26" s="46">
        <v>1</v>
      </c>
      <c r="D26" s="155"/>
      <c r="E26" s="47" t="s">
        <v>135</v>
      </c>
      <c r="F26" s="48">
        <v>0.3</v>
      </c>
      <c r="G26" s="49" t="s">
        <v>107</v>
      </c>
      <c r="H26" s="111" t="s">
        <v>110</v>
      </c>
      <c r="I26" s="112">
        <v>0.1</v>
      </c>
      <c r="J26" s="113"/>
      <c r="K26" s="111" t="s">
        <v>112</v>
      </c>
      <c r="L26" s="114">
        <v>0.17</v>
      </c>
      <c r="M26" s="113"/>
      <c r="N26" s="111" t="s">
        <v>114</v>
      </c>
      <c r="O26" s="114">
        <v>1.05</v>
      </c>
      <c r="P26" s="368"/>
      <c r="Q26" s="111" t="s">
        <v>118</v>
      </c>
      <c r="R26" s="114">
        <v>1</v>
      </c>
      <c r="S26" s="115"/>
    </row>
    <row r="27" spans="1:19" ht="15.95" hidden="1" customHeight="1" x14ac:dyDescent="0.2">
      <c r="A27" s="11" t="s">
        <v>101</v>
      </c>
      <c r="B27" s="50">
        <v>13.7</v>
      </c>
      <c r="C27" s="51">
        <v>2</v>
      </c>
      <c r="D27" s="155"/>
      <c r="E27" s="47" t="s">
        <v>105</v>
      </c>
      <c r="F27" s="52">
        <v>1</v>
      </c>
      <c r="G27" s="53" t="s">
        <v>109</v>
      </c>
      <c r="H27" s="7" t="s">
        <v>153</v>
      </c>
      <c r="I27" s="116">
        <v>0.3</v>
      </c>
      <c r="J27" s="117"/>
      <c r="K27" s="118" t="s">
        <v>113</v>
      </c>
      <c r="L27" s="119">
        <v>1</v>
      </c>
      <c r="M27" s="120"/>
      <c r="N27" s="7" t="s">
        <v>115</v>
      </c>
      <c r="O27" s="12">
        <v>1</v>
      </c>
      <c r="P27" s="369"/>
      <c r="Q27" s="7" t="s">
        <v>119</v>
      </c>
      <c r="R27" s="12">
        <v>2</v>
      </c>
      <c r="S27" s="92"/>
    </row>
    <row r="28" spans="1:19" ht="15.95" hidden="1" customHeight="1" x14ac:dyDescent="0.2">
      <c r="A28" s="11" t="s">
        <v>102</v>
      </c>
      <c r="B28" s="50">
        <v>9.3000000000000007</v>
      </c>
      <c r="C28" s="51">
        <v>3</v>
      </c>
      <c r="D28" s="155"/>
      <c r="E28" s="47" t="s">
        <v>106</v>
      </c>
      <c r="F28" s="54">
        <v>1.1000000000000001</v>
      </c>
      <c r="G28" s="53" t="s">
        <v>108</v>
      </c>
      <c r="H28" s="118" t="s">
        <v>111</v>
      </c>
      <c r="I28" s="121">
        <v>1</v>
      </c>
      <c r="J28" s="122"/>
      <c r="K28" s="94"/>
      <c r="L28" s="94"/>
      <c r="M28" s="94"/>
      <c r="N28" s="7" t="s">
        <v>116</v>
      </c>
      <c r="O28" s="123">
        <v>0.95</v>
      </c>
      <c r="P28" s="370"/>
      <c r="Q28" s="7" t="s">
        <v>117</v>
      </c>
      <c r="R28" s="12">
        <v>3.6</v>
      </c>
      <c r="S28" s="92"/>
    </row>
    <row r="29" spans="1:19" ht="15.95" hidden="1" customHeight="1" x14ac:dyDescent="0.2">
      <c r="A29" s="11" t="s">
        <v>145</v>
      </c>
      <c r="B29" s="50">
        <v>5</v>
      </c>
      <c r="C29" s="51">
        <v>4</v>
      </c>
      <c r="D29" s="155"/>
      <c r="F29" s="55"/>
      <c r="G29" s="53" t="s">
        <v>154</v>
      </c>
      <c r="H29" s="124"/>
      <c r="I29" s="124"/>
      <c r="J29" s="124"/>
      <c r="K29" s="124"/>
      <c r="L29" s="124"/>
      <c r="M29" s="124"/>
      <c r="N29" s="56"/>
      <c r="O29" s="56"/>
      <c r="P29" s="371"/>
      <c r="Q29" s="125" t="s">
        <v>120</v>
      </c>
      <c r="R29" s="119">
        <v>9.4</v>
      </c>
      <c r="S29" s="126"/>
    </row>
    <row r="30" spans="1:19" ht="15.95" hidden="1" customHeight="1" x14ac:dyDescent="0.2">
      <c r="A30" s="11" t="s">
        <v>144</v>
      </c>
      <c r="B30" s="50">
        <v>1</v>
      </c>
      <c r="C30" s="51">
        <v>5</v>
      </c>
      <c r="D30" s="155"/>
      <c r="F30" s="55"/>
      <c r="G30" s="57"/>
      <c r="H30" s="94"/>
      <c r="I30" s="94"/>
      <c r="J30" s="94"/>
      <c r="K30" s="94"/>
      <c r="L30" s="94"/>
      <c r="M30" s="94"/>
      <c r="N30" s="127"/>
      <c r="O30" s="128"/>
      <c r="P30" s="370"/>
      <c r="Q30" s="94"/>
      <c r="R30" s="94"/>
      <c r="S30" s="94"/>
    </row>
    <row r="31" spans="1:19" ht="37.5" hidden="1" customHeight="1" x14ac:dyDescent="0.2">
      <c r="A31" s="11" t="s">
        <v>103</v>
      </c>
      <c r="B31" s="50">
        <v>0.3</v>
      </c>
      <c r="C31" s="51">
        <v>6</v>
      </c>
      <c r="D31" s="155"/>
      <c r="F31" s="55"/>
      <c r="G31" s="57"/>
      <c r="H31" s="94"/>
      <c r="I31" s="94"/>
      <c r="J31" s="94"/>
      <c r="K31" s="94"/>
      <c r="L31" s="94"/>
      <c r="M31" s="94"/>
      <c r="N31" s="129"/>
      <c r="O31" s="130"/>
      <c r="P31" s="369"/>
      <c r="Q31" s="94"/>
      <c r="R31" s="94"/>
      <c r="S31" s="94"/>
    </row>
    <row r="32" spans="1:19" ht="15.95" hidden="1" customHeight="1" x14ac:dyDescent="0.2">
      <c r="A32" s="59" t="s">
        <v>104</v>
      </c>
      <c r="B32" s="60">
        <v>0</v>
      </c>
      <c r="C32" s="61">
        <v>7</v>
      </c>
      <c r="D32" s="155"/>
      <c r="F32" s="62"/>
      <c r="G32" s="63"/>
      <c r="H32" s="131"/>
      <c r="I32" s="131"/>
      <c r="J32" s="131"/>
      <c r="K32" s="131"/>
      <c r="L32" s="131"/>
      <c r="M32" s="131"/>
      <c r="P32" s="372"/>
      <c r="Q32" s="131"/>
      <c r="R32" s="131"/>
      <c r="S32" s="131"/>
    </row>
    <row r="33" spans="1:19" s="65" customFormat="1" ht="15.95" hidden="1" customHeight="1" x14ac:dyDescent="0.2">
      <c r="A33" s="64"/>
      <c r="B33" s="64"/>
      <c r="I33" s="66"/>
      <c r="P33" s="67"/>
      <c r="R33" s="66"/>
      <c r="S33" s="68"/>
    </row>
    <row r="34" spans="1:19" ht="12.75" customHeight="1" x14ac:dyDescent="0.2">
      <c r="A34" s="38" t="s">
        <v>243</v>
      </c>
      <c r="B34" s="313">
        <v>1124</v>
      </c>
      <c r="C34" s="63"/>
      <c r="D34" s="63"/>
      <c r="M34" s="35"/>
      <c r="N34" s="35"/>
      <c r="O34" s="35"/>
      <c r="Q34" s="58"/>
      <c r="R34" s="58"/>
      <c r="S34" s="70" t="str">
        <f>IF(ISERROR(#REF!*#REF!*#REF!*#REF!*#REF!*#REF!*#REF!*#REF!),"0",(#REF!*#REF!*#REF!*#REF!*#REF!*#REF!*#REF!*#REF!))</f>
        <v>0</v>
      </c>
    </row>
    <row r="35" spans="1:19" ht="12.75" customHeight="1" thickBot="1" x14ac:dyDescent="0.25"/>
    <row r="36" spans="1:19" ht="25.5" customHeight="1" thickBot="1" x14ac:dyDescent="0.25">
      <c r="A36" s="321" t="s">
        <v>246</v>
      </c>
      <c r="B36" s="322"/>
      <c r="E36" s="314" t="str">
        <f>IF(ISERROR(B34*$E$9*$E$11*$E$13*$E$15*$E$17*$E$19*$E$21),"£0",(B34*$E$9*$E$11*$E$13*$E$15*$E$17*$E$19*$E$21))</f>
        <v>£0</v>
      </c>
    </row>
    <row r="38" spans="1:19" ht="25.5" customHeight="1" x14ac:dyDescent="0.3">
      <c r="A38" s="358"/>
    </row>
    <row r="39" spans="1:19" ht="25.5" customHeight="1" x14ac:dyDescent="0.25">
      <c r="A39" s="357"/>
    </row>
    <row r="40" spans="1:19" ht="25.5" customHeight="1" x14ac:dyDescent="0.2">
      <c r="A40" s="17"/>
    </row>
  </sheetData>
  <sheetProtection selectLockedCells="1"/>
  <mergeCells count="3">
    <mergeCell ref="P26:P27"/>
    <mergeCell ref="P28:P29"/>
    <mergeCell ref="P30:P32"/>
  </mergeCells>
  <phoneticPr fontId="4" type="noConversion"/>
  <hyperlinks>
    <hyperlink ref="A1" r:id="rId1" display="http://www.sepa.org.uk/about_us/charging_schemes/idoc.ashx?docid=fa5cc388-fcb0-43f9-a044-b8e1b91c21f1&amp;version=-1"/>
    <hyperlink ref="A2" r:id="rId2" display="http://www.sepa.org.uk/about_us/charging_schemes/idoc.ashx?docid=fa5cc388-fcb0-43f9-a044-b8e1b91c21f1&amp;version=-1"/>
  </hyperlinks>
  <pageMargins left="0.75" right="0.75" top="1" bottom="1" header="0.5" footer="0.5"/>
  <pageSetup paperSize="9" orientation="landscape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6" name="Drop Down 1">
              <controlPr locked="0" defaultSize="0" autoLine="0" autoPict="0">
                <anchor moveWithCells="1">
                  <from>
                    <xdr:col>1</xdr:col>
                    <xdr:colOff>0</xdr:colOff>
                    <xdr:row>8</xdr:row>
                    <xdr:rowOff>47625</xdr:rowOff>
                  </from>
                  <to>
                    <xdr:col>1</xdr:col>
                    <xdr:colOff>3848100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7" name="Drop Down 9">
              <controlPr locked="0" defaultSize="0" autoLine="0" autoPict="0">
                <anchor moveWithCells="1">
                  <from>
                    <xdr:col>1</xdr:col>
                    <xdr:colOff>0</xdr:colOff>
                    <xdr:row>10</xdr:row>
                    <xdr:rowOff>47625</xdr:rowOff>
                  </from>
                  <to>
                    <xdr:col>1</xdr:col>
                    <xdr:colOff>3848100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8" name="Drop Down 10">
              <controlPr locked="0" defaultSize="0" autoLine="0" autoPict="0">
                <anchor moveWithCells="1">
                  <from>
                    <xdr:col>1</xdr:col>
                    <xdr:colOff>0</xdr:colOff>
                    <xdr:row>12</xdr:row>
                    <xdr:rowOff>47625</xdr:rowOff>
                  </from>
                  <to>
                    <xdr:col>1</xdr:col>
                    <xdr:colOff>3848100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9" name="Drop Down 11">
              <controlPr locked="0" defaultSize="0" autoLine="0" autoPict="0">
                <anchor moveWithCells="1">
                  <from>
                    <xdr:col>1</xdr:col>
                    <xdr:colOff>0</xdr:colOff>
                    <xdr:row>14</xdr:row>
                    <xdr:rowOff>47625</xdr:rowOff>
                  </from>
                  <to>
                    <xdr:col>1</xdr:col>
                    <xdr:colOff>3848100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0" name="Drop Down 12">
              <controlPr locked="0" defaultSize="0" autoLine="0" autoPict="0">
                <anchor moveWithCells="1">
                  <from>
                    <xdr:col>1</xdr:col>
                    <xdr:colOff>0</xdr:colOff>
                    <xdr:row>16</xdr:row>
                    <xdr:rowOff>47625</xdr:rowOff>
                  </from>
                  <to>
                    <xdr:col>1</xdr:col>
                    <xdr:colOff>3848100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1" name="Drop Down 13">
              <controlPr locked="0" defaultSize="0" autoLine="0" autoPict="0">
                <anchor moveWithCells="1">
                  <from>
                    <xdr:col>1</xdr:col>
                    <xdr:colOff>0</xdr:colOff>
                    <xdr:row>18</xdr:row>
                    <xdr:rowOff>47625</xdr:rowOff>
                  </from>
                  <to>
                    <xdr:col>1</xdr:col>
                    <xdr:colOff>3848100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2" name="Drop Down 14">
              <controlPr locked="0" defaultSize="0" autoLine="0" autoPict="0">
                <anchor moveWithCells="1">
                  <from>
                    <xdr:col>1</xdr:col>
                    <xdr:colOff>0</xdr:colOff>
                    <xdr:row>20</xdr:row>
                    <xdr:rowOff>47625</xdr:rowOff>
                  </from>
                  <to>
                    <xdr:col>1</xdr:col>
                    <xdr:colOff>3848100</xdr:colOff>
                    <xdr:row>20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U35"/>
  <sheetViews>
    <sheetView workbookViewId="0">
      <selection activeCell="A2" sqref="A2"/>
    </sheetView>
  </sheetViews>
  <sheetFormatPr defaultRowHeight="12.75" x14ac:dyDescent="0.2"/>
  <cols>
    <col min="1" max="1" width="35.7109375" style="29" customWidth="1"/>
    <col min="2" max="2" width="54.7109375" style="29" customWidth="1"/>
    <col min="3" max="3" width="8" style="29" hidden="1" customWidth="1"/>
    <col min="4" max="4" width="5.42578125" style="29" customWidth="1"/>
    <col min="5" max="5" width="14" style="29" customWidth="1"/>
    <col min="6" max="6" width="23.85546875" style="29" customWidth="1"/>
    <col min="7" max="7" width="6.28515625" style="29" customWidth="1"/>
    <col min="8" max="8" width="8.7109375" style="107" customWidth="1"/>
    <col min="9" max="9" width="14.28515625" style="29" customWidth="1"/>
    <col min="10" max="10" width="8.42578125" style="29" customWidth="1"/>
    <col min="11" max="11" width="9.42578125" style="29" customWidth="1"/>
    <col min="12" max="16384" width="9.140625" style="29"/>
  </cols>
  <sheetData>
    <row r="1" spans="1:21" ht="16.5" x14ac:dyDescent="0.25">
      <c r="A1" s="359" t="s">
        <v>249</v>
      </c>
    </row>
    <row r="2" spans="1:21" ht="16.5" x14ac:dyDescent="0.25">
      <c r="A2" s="359" t="s">
        <v>250</v>
      </c>
    </row>
    <row r="3" spans="1:21" ht="13.5" thickBot="1" x14ac:dyDescent="0.25"/>
    <row r="4" spans="1:21" s="24" customFormat="1" ht="15" customHeight="1" thickBot="1" x14ac:dyDescent="0.3">
      <c r="A4" s="308" t="s">
        <v>14</v>
      </c>
      <c r="B4" s="310"/>
      <c r="G4" s="132"/>
      <c r="H4" s="133"/>
      <c r="I4" s="134"/>
      <c r="J4" s="134"/>
      <c r="K4" s="134"/>
      <c r="L4" s="134"/>
      <c r="M4" s="132"/>
      <c r="N4" s="132"/>
      <c r="O4" s="132"/>
      <c r="P4" s="132"/>
      <c r="Q4" s="132"/>
      <c r="R4" s="132"/>
      <c r="S4" s="132"/>
      <c r="T4" s="132"/>
      <c r="U4" s="132"/>
    </row>
    <row r="5" spans="1:21" s="24" customFormat="1" ht="15" customHeight="1" x14ac:dyDescent="0.25">
      <c r="A5" s="174"/>
      <c r="G5" s="132"/>
      <c r="H5" s="133"/>
      <c r="I5" s="134"/>
      <c r="J5" s="134"/>
      <c r="K5" s="134"/>
      <c r="L5" s="134"/>
      <c r="M5" s="132"/>
      <c r="N5" s="132"/>
      <c r="O5" s="132"/>
      <c r="P5" s="132"/>
      <c r="Q5" s="132"/>
      <c r="R5" s="132"/>
      <c r="S5" s="132"/>
      <c r="T5" s="132"/>
      <c r="U5" s="132"/>
    </row>
    <row r="6" spans="1:21" s="28" customFormat="1" ht="15" customHeight="1" x14ac:dyDescent="0.2">
      <c r="B6" s="176" t="s">
        <v>134</v>
      </c>
      <c r="E6" s="33" t="s">
        <v>42</v>
      </c>
      <c r="G6" s="87"/>
      <c r="H6" s="101"/>
      <c r="I6" s="88"/>
      <c r="J6" s="88"/>
      <c r="K6" s="88"/>
      <c r="L6" s="88"/>
      <c r="M6" s="87"/>
      <c r="N6" s="87"/>
      <c r="O6" s="87"/>
      <c r="P6" s="87"/>
      <c r="Q6" s="87"/>
      <c r="R6" s="87"/>
      <c r="S6" s="87"/>
      <c r="T6" s="87"/>
      <c r="U6" s="87"/>
    </row>
    <row r="7" spans="1:21" s="28" customFormat="1" ht="15" customHeight="1" x14ac:dyDescent="0.2">
      <c r="B7" s="1"/>
      <c r="G7" s="87"/>
      <c r="H7" s="101"/>
      <c r="I7" s="88"/>
      <c r="J7" s="88"/>
      <c r="K7" s="88"/>
      <c r="L7" s="88"/>
      <c r="M7" s="87"/>
      <c r="N7" s="87"/>
      <c r="O7" s="87"/>
      <c r="P7" s="87"/>
      <c r="Q7" s="87"/>
      <c r="R7" s="87"/>
      <c r="S7" s="87"/>
      <c r="T7" s="87"/>
      <c r="U7" s="87"/>
    </row>
    <row r="8" spans="1:21" s="39" customFormat="1" ht="24" customHeight="1" x14ac:dyDescent="0.2">
      <c r="A8" s="1" t="s">
        <v>11</v>
      </c>
      <c r="C8" s="142">
        <v>1</v>
      </c>
      <c r="D8" s="142"/>
      <c r="E8" s="161" t="str">
        <f>IF(C8=2,10.7,IF(C8=3,8.5,IF(C8=4,6.6,IF(C8=5,4.5,IF(C8=6,2.5,IF(C8=7,2.2,IF(C8=8,0,"please enter a valid option")))))))</f>
        <v>please enter a valid option</v>
      </c>
      <c r="F8" s="38"/>
      <c r="G8" s="38"/>
      <c r="H8" s="38"/>
      <c r="I8" s="38"/>
      <c r="K8" s="27"/>
      <c r="L8" s="39">
        <v>1</v>
      </c>
    </row>
    <row r="9" spans="1:21" s="39" customFormat="1" ht="18" customHeight="1" x14ac:dyDescent="0.2">
      <c r="A9" s="40"/>
      <c r="C9" s="154"/>
      <c r="D9" s="154"/>
      <c r="E9" s="162"/>
      <c r="F9" s="27"/>
      <c r="G9" s="27"/>
    </row>
    <row r="10" spans="1:21" s="39" customFormat="1" ht="22.5" customHeight="1" x14ac:dyDescent="0.2">
      <c r="A10" s="1" t="s">
        <v>12</v>
      </c>
      <c r="C10" s="154">
        <v>1</v>
      </c>
      <c r="D10" s="154"/>
      <c r="E10" s="161" t="str">
        <f>IF(C10=2,0.95,IF(C10=3,1,"please enter a valid option"))</f>
        <v>please enter a valid option</v>
      </c>
      <c r="F10" s="27"/>
      <c r="G10" s="27"/>
    </row>
    <row r="11" spans="1:21" s="39" customFormat="1" ht="21.75" customHeight="1" x14ac:dyDescent="0.2">
      <c r="A11" s="40"/>
      <c r="C11" s="154"/>
      <c r="D11" s="154"/>
      <c r="E11" s="162"/>
      <c r="F11" s="27"/>
      <c r="G11" s="27"/>
    </row>
    <row r="12" spans="1:21" s="39" customFormat="1" ht="21.75" customHeight="1" x14ac:dyDescent="0.2">
      <c r="A12" s="35" t="s">
        <v>76</v>
      </c>
      <c r="B12" s="37"/>
      <c r="C12" s="154">
        <v>1</v>
      </c>
      <c r="D12" s="154"/>
      <c r="E12" s="161" t="str">
        <f>IF(C12=2,1,IF(C12=3,1.5,IF(C12=4,2.1,IF(C12=5,3,"please enter a valid option"))))</f>
        <v>please enter a valid option</v>
      </c>
      <c r="F12" s="27"/>
      <c r="G12" s="27"/>
    </row>
    <row r="13" spans="1:21" hidden="1" x14ac:dyDescent="0.2">
      <c r="B13" s="89" t="s">
        <v>11</v>
      </c>
      <c r="C13" s="90"/>
      <c r="D13" s="156"/>
      <c r="E13" s="91"/>
      <c r="F13" s="89" t="s">
        <v>12</v>
      </c>
      <c r="G13" s="90"/>
      <c r="H13" s="102"/>
      <c r="I13" s="89" t="s">
        <v>13</v>
      </c>
      <c r="J13" s="90"/>
      <c r="K13" s="91"/>
    </row>
    <row r="14" spans="1:21" hidden="1" x14ac:dyDescent="0.2">
      <c r="B14" s="163" t="s">
        <v>137</v>
      </c>
      <c r="C14" s="164"/>
      <c r="D14" s="165"/>
      <c r="E14" s="166"/>
      <c r="F14" s="163" t="s">
        <v>137</v>
      </c>
      <c r="G14" s="164"/>
      <c r="H14" s="167"/>
      <c r="I14" s="163" t="s">
        <v>137</v>
      </c>
      <c r="J14" s="164"/>
      <c r="K14" s="166"/>
    </row>
    <row r="15" spans="1:21" ht="29.25" hidden="1" customHeight="1" x14ac:dyDescent="0.2">
      <c r="B15" s="3" t="s">
        <v>124</v>
      </c>
      <c r="C15" s="4">
        <v>10.7</v>
      </c>
      <c r="D15" s="157"/>
      <c r="E15" s="92"/>
      <c r="F15" s="8" t="s">
        <v>128</v>
      </c>
      <c r="G15" s="20">
        <v>0.95</v>
      </c>
      <c r="H15" s="103"/>
      <c r="I15" s="3" t="s">
        <v>129</v>
      </c>
      <c r="J15" s="4">
        <v>1</v>
      </c>
      <c r="K15" s="92"/>
    </row>
    <row r="16" spans="1:21" ht="25.5" hidden="1" x14ac:dyDescent="0.2">
      <c r="B16" s="3" t="s">
        <v>121</v>
      </c>
      <c r="C16" s="4">
        <v>8.5</v>
      </c>
      <c r="D16" s="157"/>
      <c r="E16" s="92"/>
      <c r="F16" s="8" t="s">
        <v>130</v>
      </c>
      <c r="G16" s="20">
        <v>1</v>
      </c>
      <c r="H16" s="103"/>
      <c r="I16" s="3" t="s">
        <v>131</v>
      </c>
      <c r="J16" s="4">
        <v>1.5</v>
      </c>
      <c r="K16" s="92"/>
    </row>
    <row r="17" spans="1:17" ht="25.5" hidden="1" x14ac:dyDescent="0.2">
      <c r="B17" s="3" t="s">
        <v>122</v>
      </c>
      <c r="C17" s="4">
        <v>6.6</v>
      </c>
      <c r="D17" s="157"/>
      <c r="E17" s="92"/>
      <c r="F17" s="93"/>
      <c r="G17" s="94"/>
      <c r="H17" s="104"/>
      <c r="I17" s="3" t="s">
        <v>132</v>
      </c>
      <c r="J17" s="4">
        <v>2.1</v>
      </c>
      <c r="K17" s="92"/>
    </row>
    <row r="18" spans="1:17" ht="25.5" hidden="1" x14ac:dyDescent="0.2">
      <c r="B18" s="3" t="s">
        <v>123</v>
      </c>
      <c r="C18" s="4">
        <v>4.5</v>
      </c>
      <c r="D18" s="157"/>
      <c r="E18" s="92"/>
      <c r="F18" s="93"/>
      <c r="G18" s="94"/>
      <c r="H18" s="104"/>
      <c r="I18" s="3" t="s">
        <v>133</v>
      </c>
      <c r="J18" s="4">
        <v>3</v>
      </c>
      <c r="K18" s="92"/>
    </row>
    <row r="19" spans="1:17" hidden="1" x14ac:dyDescent="0.2">
      <c r="B19" s="3" t="s">
        <v>125</v>
      </c>
      <c r="C19" s="4">
        <v>2.5</v>
      </c>
      <c r="D19" s="157"/>
      <c r="E19" s="92"/>
      <c r="F19" s="93"/>
      <c r="G19" s="94"/>
      <c r="H19" s="104"/>
      <c r="I19" s="93"/>
      <c r="J19" s="94"/>
      <c r="K19" s="95"/>
      <c r="M19" s="29" t="s">
        <v>48</v>
      </c>
    </row>
    <row r="20" spans="1:17" hidden="1" x14ac:dyDescent="0.2">
      <c r="B20" s="3" t="s">
        <v>126</v>
      </c>
      <c r="C20" s="4">
        <v>2.2000000000000002</v>
      </c>
      <c r="D20" s="157"/>
      <c r="E20" s="92"/>
      <c r="F20" s="93"/>
      <c r="G20" s="94"/>
      <c r="H20" s="104"/>
      <c r="I20" s="93"/>
      <c r="J20" s="94"/>
      <c r="K20" s="95"/>
    </row>
    <row r="21" spans="1:17" ht="13.5" hidden="1" thickBot="1" x14ac:dyDescent="0.25">
      <c r="B21" s="5" t="s">
        <v>127</v>
      </c>
      <c r="C21" s="6">
        <v>0</v>
      </c>
      <c r="D21" s="158"/>
      <c r="E21" s="96"/>
      <c r="F21" s="97"/>
      <c r="G21" s="98"/>
      <c r="H21" s="105"/>
      <c r="I21" s="97"/>
      <c r="J21" s="98"/>
      <c r="K21" s="99"/>
    </row>
    <row r="22" spans="1:17" hidden="1" x14ac:dyDescent="0.2">
      <c r="E22" s="100">
        <f>COUNTIF(E15:E21,"x")</f>
        <v>0</v>
      </c>
      <c r="H22" s="106">
        <f>COUNTIF(H15:H16,"x")</f>
        <v>0</v>
      </c>
      <c r="K22" s="100">
        <f>COUNTIF(K15:K18,"x")</f>
        <v>0</v>
      </c>
    </row>
    <row r="23" spans="1:17" hidden="1" x14ac:dyDescent="0.2"/>
    <row r="24" spans="1:17" hidden="1" x14ac:dyDescent="0.2"/>
    <row r="25" spans="1:17" hidden="1" x14ac:dyDescent="0.2"/>
    <row r="26" spans="1:17" s="39" customFormat="1" ht="17.25" customHeight="1" x14ac:dyDescent="0.2">
      <c r="M26" s="35"/>
      <c r="N26" s="35"/>
      <c r="O26" s="35"/>
      <c r="Q26" s="58"/>
    </row>
    <row r="27" spans="1:17" s="39" customFormat="1" ht="12.75" customHeight="1" x14ac:dyDescent="0.2">
      <c r="A27" s="38" t="s">
        <v>243</v>
      </c>
      <c r="B27" s="313">
        <v>890</v>
      </c>
      <c r="C27" s="63"/>
      <c r="M27" s="35"/>
      <c r="N27" s="35"/>
      <c r="O27" s="35"/>
      <c r="Q27" s="58"/>
    </row>
    <row r="28" spans="1:17" ht="13.5" thickBot="1" x14ac:dyDescent="0.25"/>
    <row r="29" spans="1:17" ht="13.5" thickBot="1" x14ac:dyDescent="0.25">
      <c r="A29" s="321" t="s">
        <v>246</v>
      </c>
      <c r="B29" s="323"/>
      <c r="C29" s="323"/>
      <c r="D29" s="323"/>
      <c r="E29" s="314" t="str">
        <f>IF(ISERROR(B27*$E$8*$E$12),"£0",(B27*$E$8*$E$10*$E$12))</f>
        <v>£0</v>
      </c>
    </row>
    <row r="33" spans="1:1" ht="18.75" x14ac:dyDescent="0.3">
      <c r="A33" s="358"/>
    </row>
    <row r="34" spans="1:1" ht="18" x14ac:dyDescent="0.25">
      <c r="A34" s="357"/>
    </row>
    <row r="35" spans="1:1" x14ac:dyDescent="0.2">
      <c r="A35" s="17"/>
    </row>
  </sheetData>
  <sheetProtection selectLockedCells="1"/>
  <phoneticPr fontId="4" type="noConversion"/>
  <hyperlinks>
    <hyperlink ref="A1" r:id="rId1" display="http://www.sepa.org.uk/about_us/charging_schemes/idoc.ashx?docid=fa5cc388-fcb0-43f9-a044-b8e1b91c21f1&amp;version=-1"/>
    <hyperlink ref="A2" r:id="rId2" display="http://www.sepa.org.uk/about_us/charging_schemes/idoc.ashx?docid=fa5cc388-fcb0-43f9-a044-b8e1b91c21f1&amp;version=-1"/>
  </hyperlinks>
  <pageMargins left="0.75" right="0.75" top="1" bottom="1" header="0.5" footer="0.5"/>
  <pageSetup paperSize="9" scale="70" orientation="portrait" verticalDpi="0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6" name="Drop Down 1">
              <controlPr locked="0" defaultSize="0" autoLine="0" autoPict="0">
                <anchor moveWithCells="1">
                  <from>
                    <xdr:col>1</xdr:col>
                    <xdr:colOff>0</xdr:colOff>
                    <xdr:row>7</xdr:row>
                    <xdr:rowOff>47625</xdr:rowOff>
                  </from>
                  <to>
                    <xdr:col>1</xdr:col>
                    <xdr:colOff>3629025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7" name="Drop Down 2">
              <controlPr locked="0" defaultSize="0" autoLine="0" autoPict="0">
                <anchor moveWithCells="1">
                  <from>
                    <xdr:col>1</xdr:col>
                    <xdr:colOff>0</xdr:colOff>
                    <xdr:row>9</xdr:row>
                    <xdr:rowOff>47625</xdr:rowOff>
                  </from>
                  <to>
                    <xdr:col>1</xdr:col>
                    <xdr:colOff>3629025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8" name="Drop Down 3">
              <controlPr defaultSize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1</xdr:col>
                    <xdr:colOff>3629025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9" name="Drop Down 4">
              <controlPr defaultSize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1</xdr:col>
                    <xdr:colOff>3629025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Drop Down 7">
              <controlPr locked="0" defaultSize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1</xdr:col>
                    <xdr:colOff>3629025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M69"/>
  <sheetViews>
    <sheetView zoomScaleNormal="100" workbookViewId="0">
      <selection activeCell="G23" sqref="G23"/>
    </sheetView>
  </sheetViews>
  <sheetFormatPr defaultRowHeight="12.75" x14ac:dyDescent="0.2"/>
  <cols>
    <col min="1" max="1" width="24.85546875" customWidth="1"/>
    <col min="2" max="2" width="75.140625" customWidth="1"/>
    <col min="3" max="3" width="10" customWidth="1"/>
    <col min="4" max="4" width="4.85546875" customWidth="1"/>
    <col min="5" max="5" width="15.85546875" customWidth="1"/>
    <col min="6" max="6" width="10.85546875" customWidth="1"/>
    <col min="8" max="8" width="38.42578125" customWidth="1"/>
  </cols>
  <sheetData>
    <row r="1" spans="1:5" ht="16.5" x14ac:dyDescent="0.25">
      <c r="A1" s="359" t="s">
        <v>249</v>
      </c>
    </row>
    <row r="2" spans="1:5" ht="16.5" x14ac:dyDescent="0.25">
      <c r="A2" s="359" t="s">
        <v>250</v>
      </c>
    </row>
    <row r="4" spans="1:5" ht="13.5" thickBot="1" x14ac:dyDescent="0.25"/>
    <row r="5" spans="1:5" ht="15.75" thickBot="1" x14ac:dyDescent="0.3">
      <c r="A5" s="308" t="s">
        <v>35</v>
      </c>
      <c r="B5" s="309"/>
    </row>
    <row r="8" spans="1:5" x14ac:dyDescent="0.2">
      <c r="B8" s="176" t="s">
        <v>134</v>
      </c>
      <c r="E8" s="33" t="s">
        <v>42</v>
      </c>
    </row>
    <row r="9" spans="1:5" x14ac:dyDescent="0.2">
      <c r="E9" s="28"/>
    </row>
    <row r="10" spans="1:5" ht="27" customHeight="1" x14ac:dyDescent="0.2">
      <c r="A10" s="302" t="s">
        <v>199</v>
      </c>
      <c r="B10" s="301"/>
      <c r="C10">
        <v>1</v>
      </c>
      <c r="E10" s="161" t="str">
        <f>IF(C10=2,C41,IF(C10=3,C42,IF(C10=4,C43,IF(C10=5,C44,"please enter a valid option"))))</f>
        <v>please enter a valid option</v>
      </c>
    </row>
    <row r="11" spans="1:5" ht="15.75" customHeight="1" x14ac:dyDescent="0.2">
      <c r="A11" s="302"/>
      <c r="B11" s="282"/>
      <c r="E11" s="69"/>
    </row>
    <row r="12" spans="1:5" ht="29.25" customHeight="1" x14ac:dyDescent="0.2">
      <c r="A12" s="302" t="s">
        <v>171</v>
      </c>
      <c r="B12" s="276"/>
      <c r="C12">
        <v>1</v>
      </c>
      <c r="E12" s="161" t="str">
        <f>IF(C12=2,G41,IF(C12=3,G42,IF(C12=4,G43,"please enter a valid option")))</f>
        <v>please enter a valid option</v>
      </c>
    </row>
    <row r="13" spans="1:5" x14ac:dyDescent="0.2">
      <c r="A13" s="302"/>
      <c r="B13" s="276"/>
      <c r="E13" s="69"/>
    </row>
    <row r="14" spans="1:5" ht="27.75" customHeight="1" x14ac:dyDescent="0.2">
      <c r="A14" s="302" t="s">
        <v>174</v>
      </c>
      <c r="B14" s="276"/>
      <c r="C14">
        <v>1</v>
      </c>
      <c r="E14" s="161" t="str">
        <f>IF(C14=2,J41,IF(C14=3,J42,"please enter a valid option"))</f>
        <v>please enter a valid option</v>
      </c>
    </row>
    <row r="15" spans="1:5" ht="15.75" customHeight="1" x14ac:dyDescent="0.2">
      <c r="A15" s="302"/>
      <c r="B15" s="276"/>
      <c r="E15" s="161"/>
    </row>
    <row r="16" spans="1:5" x14ac:dyDescent="0.2">
      <c r="A16" s="38" t="s">
        <v>243</v>
      </c>
      <c r="B16" s="313">
        <v>2043</v>
      </c>
      <c r="C16" s="27"/>
      <c r="D16" s="27"/>
    </row>
    <row r="17" spans="1:6" x14ac:dyDescent="0.2">
      <c r="A17" s="39"/>
      <c r="B17" s="39"/>
      <c r="C17" s="39"/>
      <c r="D17" s="39"/>
      <c r="E17" s="39"/>
    </row>
    <row r="18" spans="1:6" ht="13.5" thickBot="1" x14ac:dyDescent="0.25">
      <c r="A18" s="35"/>
      <c r="B18" s="306"/>
      <c r="C18" s="39"/>
      <c r="D18" s="39"/>
      <c r="E18" s="307"/>
      <c r="F18" s="305"/>
    </row>
    <row r="19" spans="1:6" ht="13.5" thickBot="1" x14ac:dyDescent="0.25">
      <c r="A19" s="378" t="s">
        <v>246</v>
      </c>
      <c r="B19" s="379"/>
      <c r="C19" s="326"/>
      <c r="D19" s="326"/>
      <c r="E19" s="314" t="str">
        <f>IF(ISERROR(B16*E14*E12*E10),"£0",(B16*E14*E12*E10))</f>
        <v>£0</v>
      </c>
    </row>
    <row r="20" spans="1:6" ht="13.5" thickBot="1" x14ac:dyDescent="0.25">
      <c r="A20" s="327"/>
      <c r="B20" s="286"/>
      <c r="C20" s="286"/>
      <c r="D20" s="286"/>
      <c r="E20" s="330"/>
    </row>
    <row r="21" spans="1:6" ht="30.75" customHeight="1" thickBot="1" x14ac:dyDescent="0.25">
      <c r="A21" s="380" t="s">
        <v>208</v>
      </c>
      <c r="B21" s="381"/>
      <c r="C21" s="244"/>
      <c r="D21" s="244"/>
      <c r="E21" s="341" t="str">
        <f>IF(E10=C41,1,IF(E10=C42,2,IF(E10=C43,3,IF(E10=C44,3,"incomplete selection above"))))</f>
        <v>incomplete selection above</v>
      </c>
      <c r="F21" s="37"/>
    </row>
    <row r="22" spans="1:6" ht="13.5" thickBot="1" x14ac:dyDescent="0.25">
      <c r="A22" s="328"/>
      <c r="B22" s="244"/>
      <c r="C22" s="244"/>
      <c r="D22" s="244"/>
      <c r="E22" s="303"/>
    </row>
    <row r="23" spans="1:6" ht="39.75" customHeight="1" thickBot="1" x14ac:dyDescent="0.25">
      <c r="A23" s="382" t="s">
        <v>247</v>
      </c>
      <c r="B23" s="383"/>
      <c r="C23" s="329"/>
      <c r="D23" s="329"/>
      <c r="E23" s="314" t="str">
        <f>IF(ISERROR(E21*E19),"£0",(E21*E19))</f>
        <v>£0</v>
      </c>
    </row>
    <row r="25" spans="1:6" s="76" customFormat="1" ht="24" customHeight="1" x14ac:dyDescent="0.2">
      <c r="A25" s="386" t="s">
        <v>216</v>
      </c>
      <c r="B25" s="387"/>
    </row>
    <row r="26" spans="1:6" s="76" customFormat="1" x14ac:dyDescent="0.2">
      <c r="A26" s="76" t="s">
        <v>217</v>
      </c>
    </row>
    <row r="28" spans="1:6" ht="17.25" customHeight="1" x14ac:dyDescent="0.2">
      <c r="A28" s="281"/>
      <c r="B28" s="273"/>
    </row>
    <row r="29" spans="1:6" ht="13.5" hidden="1" thickBot="1" x14ac:dyDescent="0.25">
      <c r="A29" s="281"/>
      <c r="B29" s="273"/>
    </row>
    <row r="30" spans="1:6" ht="13.5" hidden="1" thickBot="1" x14ac:dyDescent="0.25">
      <c r="A30" s="277" t="s">
        <v>165</v>
      </c>
      <c r="B30" s="283"/>
      <c r="E30" s="270" t="s">
        <v>166</v>
      </c>
    </row>
    <row r="31" spans="1:6" ht="41.25" hidden="1" customHeight="1" thickTop="1" thickBot="1" x14ac:dyDescent="0.25">
      <c r="A31" s="271" t="s">
        <v>167</v>
      </c>
      <c r="B31" s="272" t="s">
        <v>168</v>
      </c>
      <c r="E31" s="272" t="s">
        <v>169</v>
      </c>
    </row>
    <row r="32" spans="1:6" ht="58.5" hidden="1" customHeight="1" thickBot="1" x14ac:dyDescent="0.25">
      <c r="A32" s="271" t="s">
        <v>170</v>
      </c>
      <c r="B32" s="272" t="s">
        <v>171</v>
      </c>
      <c r="E32" s="272" t="s">
        <v>172</v>
      </c>
    </row>
    <row r="33" spans="1:13" ht="37.5" hidden="1" customHeight="1" thickBot="1" x14ac:dyDescent="0.25">
      <c r="A33" s="271" t="s">
        <v>173</v>
      </c>
      <c r="B33" s="272" t="s">
        <v>174</v>
      </c>
      <c r="E33" s="272" t="s">
        <v>175</v>
      </c>
    </row>
    <row r="34" spans="1:13" ht="31.5" hidden="1" customHeight="1" thickBot="1" x14ac:dyDescent="0.25">
      <c r="A34" s="271" t="s">
        <v>176</v>
      </c>
      <c r="B34" s="272" t="s">
        <v>177</v>
      </c>
      <c r="E34" s="272" t="s">
        <v>178</v>
      </c>
    </row>
    <row r="35" spans="1:13" ht="25.5" hidden="1" customHeight="1" thickBot="1" x14ac:dyDescent="0.25">
      <c r="A35" s="278" t="s">
        <v>179</v>
      </c>
      <c r="B35" s="279"/>
      <c r="E35" s="280"/>
    </row>
    <row r="36" spans="1:13" hidden="1" x14ac:dyDescent="0.2"/>
    <row r="37" spans="1:13" hidden="1" x14ac:dyDescent="0.2"/>
    <row r="38" spans="1:13" ht="13.5" hidden="1" thickBot="1" x14ac:dyDescent="0.25"/>
    <row r="39" spans="1:13" hidden="1" x14ac:dyDescent="0.2">
      <c r="A39" s="293" t="s">
        <v>180</v>
      </c>
      <c r="B39" s="287" t="s">
        <v>7</v>
      </c>
      <c r="C39" s="274"/>
      <c r="D39" s="72"/>
      <c r="E39" s="285" t="s">
        <v>181</v>
      </c>
      <c r="F39" s="286"/>
      <c r="G39" s="287" t="s">
        <v>7</v>
      </c>
      <c r="H39" s="285" t="s">
        <v>182</v>
      </c>
      <c r="I39" s="296"/>
      <c r="J39" s="287" t="s">
        <v>7</v>
      </c>
      <c r="K39" s="27"/>
      <c r="L39" s="27"/>
      <c r="M39" s="27"/>
    </row>
    <row r="40" spans="1:13" hidden="1" x14ac:dyDescent="0.2">
      <c r="A40" s="288"/>
      <c r="B40" s="294" t="s">
        <v>137</v>
      </c>
      <c r="C40" s="150"/>
      <c r="D40" s="150"/>
      <c r="E40" s="288"/>
      <c r="F40" s="72" t="s">
        <v>137</v>
      </c>
      <c r="G40" s="289"/>
      <c r="H40" s="288"/>
      <c r="I40" s="72" t="s">
        <v>137</v>
      </c>
      <c r="J40" s="289"/>
      <c r="K40" s="27"/>
      <c r="L40" s="27"/>
      <c r="M40" s="246"/>
    </row>
    <row r="41" spans="1:13" ht="94.5" hidden="1" customHeight="1" x14ac:dyDescent="0.2">
      <c r="A41" s="281">
        <v>1</v>
      </c>
      <c r="B41" s="295" t="s">
        <v>195</v>
      </c>
      <c r="C41" s="284">
        <v>1</v>
      </c>
      <c r="D41" s="284"/>
      <c r="E41" s="281">
        <v>1</v>
      </c>
      <c r="F41" s="273" t="s">
        <v>183</v>
      </c>
      <c r="G41" s="290">
        <v>1</v>
      </c>
      <c r="H41" s="281">
        <v>1</v>
      </c>
      <c r="I41" s="273" t="s">
        <v>186</v>
      </c>
      <c r="J41" s="290">
        <v>1</v>
      </c>
      <c r="K41" s="205"/>
      <c r="L41" s="142"/>
      <c r="M41" s="246"/>
    </row>
    <row r="42" spans="1:13" ht="96" hidden="1" customHeight="1" thickBot="1" x14ac:dyDescent="0.25">
      <c r="A42" s="281">
        <v>2</v>
      </c>
      <c r="B42" s="295" t="s">
        <v>196</v>
      </c>
      <c r="C42" s="284">
        <v>1.5</v>
      </c>
      <c r="D42" s="284"/>
      <c r="E42" s="281">
        <v>2</v>
      </c>
      <c r="F42" s="273" t="s">
        <v>184</v>
      </c>
      <c r="G42" s="290">
        <v>1.5</v>
      </c>
      <c r="H42" s="291">
        <v>2</v>
      </c>
      <c r="I42" s="292" t="s">
        <v>187</v>
      </c>
      <c r="J42" s="267">
        <v>1.5</v>
      </c>
      <c r="K42" s="205"/>
      <c r="L42" s="142"/>
      <c r="M42" s="246"/>
    </row>
    <row r="43" spans="1:13" ht="45" hidden="1" customHeight="1" thickBot="1" x14ac:dyDescent="0.25">
      <c r="A43" s="281">
        <v>3</v>
      </c>
      <c r="B43" s="295" t="s">
        <v>197</v>
      </c>
      <c r="C43" s="284">
        <v>3</v>
      </c>
      <c r="D43" s="284"/>
      <c r="E43" s="291">
        <v>3</v>
      </c>
      <c r="F43" s="292" t="s">
        <v>185</v>
      </c>
      <c r="G43" s="267">
        <v>2</v>
      </c>
      <c r="K43" s="205"/>
      <c r="L43" s="142"/>
      <c r="M43" s="246"/>
    </row>
    <row r="44" spans="1:13" ht="45" hidden="1" customHeight="1" thickBot="1" x14ac:dyDescent="0.25">
      <c r="A44" s="291">
        <v>4</v>
      </c>
      <c r="B44" s="272" t="s">
        <v>198</v>
      </c>
      <c r="C44" s="275">
        <v>4</v>
      </c>
      <c r="D44" s="284"/>
      <c r="E44" s="27"/>
      <c r="F44" s="27"/>
      <c r="G44" s="142"/>
      <c r="K44" s="205"/>
      <c r="L44" s="142"/>
      <c r="M44" s="246"/>
    </row>
    <row r="45" spans="1:13" hidden="1" x14ac:dyDescent="0.2"/>
    <row r="46" spans="1:13" hidden="1" x14ac:dyDescent="0.2"/>
    <row r="47" spans="1:13" hidden="1" x14ac:dyDescent="0.2"/>
    <row r="48" spans="1:13" ht="13.5" hidden="1" thickBot="1" x14ac:dyDescent="0.25">
      <c r="A48" s="388" t="s">
        <v>207</v>
      </c>
      <c r="B48" s="366"/>
      <c r="C48" s="304"/>
      <c r="D48" s="304"/>
    </row>
    <row r="49" spans="1:4" hidden="1" x14ac:dyDescent="0.2">
      <c r="A49" s="389" t="s">
        <v>200</v>
      </c>
      <c r="B49" s="389" t="s">
        <v>201</v>
      </c>
      <c r="C49" s="373" t="s">
        <v>202</v>
      </c>
      <c r="D49" s="352"/>
    </row>
    <row r="50" spans="1:4" ht="13.5" hidden="1" thickBot="1" x14ac:dyDescent="0.25">
      <c r="A50" s="390"/>
      <c r="B50" s="390"/>
      <c r="C50" s="374"/>
      <c r="D50" s="352"/>
    </row>
    <row r="51" spans="1:4" ht="13.5" hidden="1" thickTop="1" x14ac:dyDescent="0.2">
      <c r="A51" s="384">
        <v>1</v>
      </c>
      <c r="B51" s="384" t="s">
        <v>203</v>
      </c>
      <c r="C51" s="375">
        <v>1</v>
      </c>
      <c r="D51" s="284"/>
    </row>
    <row r="52" spans="1:4" ht="13.5" hidden="1" thickBot="1" x14ac:dyDescent="0.25">
      <c r="A52" s="385"/>
      <c r="B52" s="385"/>
      <c r="C52" s="376"/>
      <c r="D52" s="284"/>
    </row>
    <row r="53" spans="1:4" ht="26.25" hidden="1" thickBot="1" x14ac:dyDescent="0.25">
      <c r="A53" s="271">
        <v>2</v>
      </c>
      <c r="B53" s="272" t="s">
        <v>204</v>
      </c>
      <c r="C53" s="267">
        <v>2</v>
      </c>
      <c r="D53" s="284"/>
    </row>
    <row r="54" spans="1:4" ht="26.25" hidden="1" thickBot="1" x14ac:dyDescent="0.25">
      <c r="A54" s="271" t="s">
        <v>205</v>
      </c>
      <c r="B54" s="272" t="s">
        <v>206</v>
      </c>
      <c r="C54" s="267">
        <v>3</v>
      </c>
      <c r="D54" s="284"/>
    </row>
    <row r="55" spans="1:4" hidden="1" x14ac:dyDescent="0.2"/>
    <row r="56" spans="1:4" hidden="1" x14ac:dyDescent="0.2"/>
    <row r="57" spans="1:4" hidden="1" x14ac:dyDescent="0.2"/>
    <row r="58" spans="1:4" hidden="1" x14ac:dyDescent="0.2"/>
    <row r="59" spans="1:4" hidden="1" x14ac:dyDescent="0.2"/>
    <row r="60" spans="1:4" hidden="1" x14ac:dyDescent="0.2"/>
    <row r="61" spans="1:4" hidden="1" x14ac:dyDescent="0.2"/>
    <row r="62" spans="1:4" hidden="1" x14ac:dyDescent="0.2"/>
    <row r="63" spans="1:4" hidden="1" x14ac:dyDescent="0.2"/>
    <row r="64" spans="1:4" ht="24.75" hidden="1" customHeight="1" x14ac:dyDescent="0.2">
      <c r="C64" s="377"/>
      <c r="D64" s="351"/>
    </row>
    <row r="65" spans="1:4" x14ac:dyDescent="0.2">
      <c r="C65" s="377"/>
      <c r="D65" s="351"/>
    </row>
    <row r="66" spans="1:4" ht="18.75" x14ac:dyDescent="0.3">
      <c r="A66" s="358"/>
      <c r="C66" s="284"/>
      <c r="D66" s="284"/>
    </row>
    <row r="67" spans="1:4" ht="18" x14ac:dyDescent="0.25">
      <c r="A67" s="357"/>
      <c r="C67" s="284"/>
      <c r="D67" s="284"/>
    </row>
    <row r="68" spans="1:4" x14ac:dyDescent="0.2">
      <c r="A68" s="17"/>
      <c r="C68" s="284"/>
      <c r="D68" s="284"/>
    </row>
    <row r="69" spans="1:4" x14ac:dyDescent="0.2">
      <c r="C69" s="284"/>
      <c r="D69" s="284"/>
    </row>
  </sheetData>
  <mergeCells count="12">
    <mergeCell ref="A49:A50"/>
    <mergeCell ref="B49:B50"/>
    <mergeCell ref="C49:C50"/>
    <mergeCell ref="C51:C52"/>
    <mergeCell ref="C64:C65"/>
    <mergeCell ref="A19:B19"/>
    <mergeCell ref="A21:B21"/>
    <mergeCell ref="A23:B23"/>
    <mergeCell ref="A51:A52"/>
    <mergeCell ref="B51:B52"/>
    <mergeCell ref="A25:B25"/>
    <mergeCell ref="A48:B48"/>
  </mergeCells>
  <phoneticPr fontId="4" type="noConversion"/>
  <dataValidations disablePrompts="1" count="1">
    <dataValidation type="list" allowBlank="1" showInputMessage="1" showErrorMessage="1" sqref="B10:B11">
      <formula1>$B$40:$B$44</formula1>
    </dataValidation>
  </dataValidations>
  <hyperlinks>
    <hyperlink ref="A1" r:id="rId1" display="http://www.sepa.org.uk/about_us/charging_schemes/idoc.ashx?docid=fa5cc388-fcb0-43f9-a044-b8e1b91c21f1&amp;version=-1"/>
    <hyperlink ref="A2" r:id="rId2" display="http://www.sepa.org.uk/about_us/charging_schemes/idoc.ashx?docid=fa5cc388-fcb0-43f9-a044-b8e1b91c21f1&amp;version=-1"/>
  </hyperlinks>
  <pageMargins left="0.75" right="0.75" top="1" bottom="1" header="0.5" footer="0.5"/>
  <pageSetup paperSize="9" scale="69" orientation="portrait" verticalDpi="0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2" r:id="rId6" name="Drop Down 8">
              <controlPr locked="0" defaultSize="0" autoLine="0" autoPict="0">
                <anchor moveWithCells="1">
                  <from>
                    <xdr:col>1</xdr:col>
                    <xdr:colOff>142875</xdr:colOff>
                    <xdr:row>9</xdr:row>
                    <xdr:rowOff>95250</xdr:rowOff>
                  </from>
                  <to>
                    <xdr:col>1</xdr:col>
                    <xdr:colOff>4924425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7" name="Drop Down 9">
              <controlPr locked="0" defaultSize="0" autoLine="0" autoPict="0">
                <anchor moveWithCells="1">
                  <from>
                    <xdr:col>1</xdr:col>
                    <xdr:colOff>142875</xdr:colOff>
                    <xdr:row>11</xdr:row>
                    <xdr:rowOff>38100</xdr:rowOff>
                  </from>
                  <to>
                    <xdr:col>1</xdr:col>
                    <xdr:colOff>4943475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8" name="Drop Down 11">
              <controlPr locked="0" defaultSize="0" autoLine="0" autoPict="0">
                <anchor moveWithCells="1">
                  <from>
                    <xdr:col>1</xdr:col>
                    <xdr:colOff>152400</xdr:colOff>
                    <xdr:row>13</xdr:row>
                    <xdr:rowOff>19050</xdr:rowOff>
                  </from>
                  <to>
                    <xdr:col>1</xdr:col>
                    <xdr:colOff>4914900</xdr:colOff>
                    <xdr:row>13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I316"/>
  <sheetViews>
    <sheetView topLeftCell="A5" zoomScale="80" workbookViewId="0">
      <selection activeCell="F7" sqref="F7"/>
    </sheetView>
  </sheetViews>
  <sheetFormatPr defaultRowHeight="12.75" x14ac:dyDescent="0.2"/>
  <cols>
    <col min="1" max="1" width="8.140625" style="29" customWidth="1"/>
    <col min="2" max="2" width="9.140625" style="29"/>
    <col min="3" max="3" width="59.42578125" style="88" customWidth="1"/>
    <col min="4" max="4" width="11.42578125" style="29" customWidth="1"/>
    <col min="5" max="5" width="10" style="29" customWidth="1"/>
    <col min="6" max="6" width="18.5703125" style="29" customWidth="1"/>
    <col min="7" max="7" width="13.28515625" style="29" customWidth="1"/>
    <col min="8" max="8" width="11.85546875" style="29" customWidth="1"/>
    <col min="9" max="9" width="14.140625" style="29" customWidth="1"/>
    <col min="10" max="16384" width="9.140625" style="29"/>
  </cols>
  <sheetData>
    <row r="1" spans="2:9" s="185" customFormat="1" ht="9" customHeight="1" x14ac:dyDescent="0.2">
      <c r="C1" s="186"/>
    </row>
    <row r="2" spans="2:9" ht="26.25" customHeight="1" x14ac:dyDescent="0.25">
      <c r="B2" s="219" t="s">
        <v>35</v>
      </c>
      <c r="C2" s="220"/>
    </row>
    <row r="3" spans="2:9" x14ac:dyDescent="0.2">
      <c r="B3" s="9"/>
    </row>
    <row r="4" spans="2:9" ht="13.5" thickBot="1" x14ac:dyDescent="0.25"/>
    <row r="5" spans="2:9" ht="52.5" customHeight="1" thickBot="1" x14ac:dyDescent="0.25">
      <c r="B5" s="214" t="s">
        <v>21</v>
      </c>
      <c r="C5" s="215" t="s">
        <v>22</v>
      </c>
      <c r="D5" s="214" t="s">
        <v>44</v>
      </c>
      <c r="E5" s="216" t="s">
        <v>27</v>
      </c>
      <c r="F5" s="216" t="s">
        <v>152</v>
      </c>
      <c r="G5" s="217" t="s">
        <v>151</v>
      </c>
      <c r="H5" s="217" t="s">
        <v>26</v>
      </c>
      <c r="I5" s="217" t="s">
        <v>33</v>
      </c>
    </row>
    <row r="6" spans="2:9" ht="12.75" customHeight="1" thickBot="1" x14ac:dyDescent="0.25">
      <c r="B6" s="168"/>
      <c r="C6" s="169"/>
      <c r="D6" s="170"/>
      <c r="E6" s="187"/>
      <c r="F6" s="188"/>
      <c r="G6" s="213" t="s">
        <v>140</v>
      </c>
      <c r="H6" s="218"/>
      <c r="I6" s="218"/>
    </row>
    <row r="7" spans="2:9" ht="30" customHeight="1" thickBot="1" x14ac:dyDescent="0.25">
      <c r="B7" s="168">
        <v>1</v>
      </c>
      <c r="C7" s="169" t="s">
        <v>18</v>
      </c>
      <c r="D7" s="171">
        <v>2325</v>
      </c>
      <c r="E7" s="187">
        <v>2</v>
      </c>
      <c r="F7" s="203"/>
      <c r="G7" s="225">
        <f>IF(AND(F7="x",F$14="-"),D7, )</f>
        <v>0</v>
      </c>
      <c r="H7" s="226">
        <f>G7</f>
        <v>0</v>
      </c>
      <c r="I7" s="227">
        <f>H7*E7</f>
        <v>0</v>
      </c>
    </row>
    <row r="8" spans="2:9" ht="30" customHeight="1" thickBot="1" x14ac:dyDescent="0.25">
      <c r="B8" s="168">
        <v>2</v>
      </c>
      <c r="C8" s="169" t="s">
        <v>19</v>
      </c>
      <c r="D8" s="171">
        <v>3059</v>
      </c>
      <c r="E8" s="187">
        <v>5</v>
      </c>
      <c r="F8" s="203"/>
      <c r="G8" s="225">
        <f>IF(AND(F8="x",F$14="-"),D8, )</f>
        <v>0</v>
      </c>
      <c r="H8" s="226">
        <f>G8</f>
        <v>0</v>
      </c>
      <c r="I8" s="227">
        <f>H8*E8</f>
        <v>0</v>
      </c>
    </row>
    <row r="9" spans="2:9" ht="30" customHeight="1" thickBot="1" x14ac:dyDescent="0.25">
      <c r="B9" s="168">
        <v>3</v>
      </c>
      <c r="C9" s="169" t="s">
        <v>149</v>
      </c>
      <c r="D9" s="171">
        <v>2135</v>
      </c>
      <c r="E9" s="187">
        <v>2</v>
      </c>
      <c r="F9" s="203"/>
      <c r="G9" s="225">
        <f>IF(AND(F9="x",F$16="-"),D9, )</f>
        <v>0</v>
      </c>
      <c r="H9" s="226">
        <f>G9</f>
        <v>0</v>
      </c>
      <c r="I9" s="227">
        <f>H9*E9</f>
        <v>0</v>
      </c>
    </row>
    <row r="10" spans="2:9" ht="30" customHeight="1" thickBot="1" x14ac:dyDescent="0.25">
      <c r="B10" s="168">
        <v>4</v>
      </c>
      <c r="C10" s="169" t="s">
        <v>24</v>
      </c>
      <c r="D10" s="171">
        <v>6149</v>
      </c>
      <c r="E10" s="187">
        <v>5</v>
      </c>
      <c r="F10" s="203"/>
      <c r="G10" s="225">
        <f>IF(AND(F10="x",F$16="-"),D10, )</f>
        <v>0</v>
      </c>
      <c r="H10" s="226">
        <f>G10</f>
        <v>0</v>
      </c>
      <c r="I10" s="227">
        <f>H10*E10</f>
        <v>0</v>
      </c>
    </row>
    <row r="11" spans="2:9" ht="30" customHeight="1" thickBot="1" x14ac:dyDescent="0.25">
      <c r="B11" s="168">
        <v>5</v>
      </c>
      <c r="C11" s="169" t="s">
        <v>20</v>
      </c>
      <c r="D11" s="171">
        <v>7199</v>
      </c>
      <c r="E11" s="189">
        <v>5</v>
      </c>
      <c r="F11" s="210"/>
      <c r="G11" s="225">
        <f>IF(AND(F11="x",F$16="-"),D11, )</f>
        <v>0</v>
      </c>
      <c r="H11" s="226">
        <f>G11</f>
        <v>0</v>
      </c>
      <c r="I11" s="228">
        <f>H11*E11</f>
        <v>0</v>
      </c>
    </row>
    <row r="12" spans="2:9" ht="22.5" hidden="1" customHeight="1" thickBot="1" x14ac:dyDescent="0.25">
      <c r="B12" s="205"/>
      <c r="C12" s="47"/>
      <c r="D12" s="206"/>
      <c r="E12" s="39"/>
      <c r="F12" s="184">
        <f>COUNTIF(F7:F8,"x")</f>
        <v>0</v>
      </c>
      <c r="G12" s="207"/>
      <c r="H12" s="208"/>
      <c r="I12" s="208"/>
    </row>
    <row r="13" spans="2:9" ht="15" hidden="1" customHeight="1" thickBot="1" x14ac:dyDescent="0.25">
      <c r="B13" s="205"/>
      <c r="C13" s="47"/>
      <c r="D13" s="206"/>
      <c r="E13" s="39"/>
      <c r="F13" s="184">
        <f>COUNTIF(F9:F11,"x")</f>
        <v>0</v>
      </c>
      <c r="G13" s="207"/>
      <c r="H13" s="208"/>
      <c r="I13" s="208"/>
    </row>
    <row r="14" spans="2:9" ht="39.75" customHeight="1" x14ac:dyDescent="0.2">
      <c r="B14" s="205"/>
      <c r="C14" s="47"/>
      <c r="D14" s="206"/>
      <c r="E14" s="39"/>
      <c r="F14" s="212" t="str">
        <f>IF(F12&gt;1,"please pick only one bank, see note 1","-")</f>
        <v>-</v>
      </c>
      <c r="G14" s="155"/>
      <c r="H14" s="208"/>
      <c r="I14" s="208"/>
    </row>
    <row r="15" spans="2:9" ht="12" customHeight="1" x14ac:dyDescent="0.2">
      <c r="B15" s="205"/>
      <c r="C15" s="47"/>
      <c r="D15" s="206"/>
      <c r="E15" s="39"/>
      <c r="F15" s="209"/>
      <c r="G15" s="155"/>
      <c r="H15" s="208"/>
      <c r="I15" s="208"/>
    </row>
    <row r="16" spans="2:9" ht="38.25" customHeight="1" x14ac:dyDescent="0.2">
      <c r="B16" s="205"/>
      <c r="C16" s="47"/>
      <c r="D16" s="206"/>
      <c r="E16" s="39"/>
      <c r="F16" s="212" t="str">
        <f>IF(F13&gt;1,"please pick only one bed, see note 1","-")</f>
        <v>-</v>
      </c>
      <c r="G16" s="155"/>
      <c r="H16" s="208"/>
      <c r="I16" s="208"/>
    </row>
    <row r="17" spans="2:9" ht="17.25" customHeight="1" thickBot="1" x14ac:dyDescent="0.25">
      <c r="F17" s="211"/>
      <c r="G17" s="39"/>
      <c r="H17" s="190"/>
      <c r="I17" s="190"/>
    </row>
    <row r="18" spans="2:9" ht="17.25" customHeight="1" thickBot="1" x14ac:dyDescent="0.25">
      <c r="B18" s="191"/>
      <c r="C18" s="172" t="s">
        <v>32</v>
      </c>
      <c r="D18" s="192" t="s">
        <v>28</v>
      </c>
      <c r="E18" s="192" t="s">
        <v>29</v>
      </c>
      <c r="F18" s="192" t="s">
        <v>30</v>
      </c>
      <c r="G18" s="192" t="s">
        <v>31</v>
      </c>
      <c r="H18" s="192" t="s">
        <v>46</v>
      </c>
      <c r="I18" s="192" t="s">
        <v>36</v>
      </c>
    </row>
    <row r="19" spans="2:9" ht="31.5" customHeight="1" thickBot="1" x14ac:dyDescent="0.25">
      <c r="B19" s="193"/>
      <c r="C19" s="57" t="s">
        <v>47</v>
      </c>
      <c r="D19" s="229">
        <f>SUM(D28:D33)</f>
        <v>0</v>
      </c>
      <c r="E19" s="229">
        <f>SUM(E28:E33)</f>
        <v>0</v>
      </c>
      <c r="F19" s="229">
        <f>SUM(F28:F33)</f>
        <v>0</v>
      </c>
      <c r="G19" s="229">
        <f>SUM(G28:G33)</f>
        <v>0</v>
      </c>
      <c r="H19" s="229">
        <f>SUM(H28:H33)</f>
        <v>0</v>
      </c>
      <c r="I19" s="229">
        <f>SUM(I6:I11)</f>
        <v>0</v>
      </c>
    </row>
    <row r="20" spans="2:9" ht="31.5" hidden="1" customHeight="1" x14ac:dyDescent="0.2">
      <c r="B20" s="39"/>
      <c r="C20" s="58"/>
      <c r="D20" s="202"/>
      <c r="E20" s="202"/>
      <c r="F20" s="204">
        <f>IF(AND(F7="x",F8="x"),"please pick only on bank",)</f>
        <v>0</v>
      </c>
      <c r="G20" s="202"/>
      <c r="H20" s="202"/>
      <c r="I20" s="202"/>
    </row>
    <row r="21" spans="2:9" ht="31.5" hidden="1" customHeight="1" x14ac:dyDescent="0.2">
      <c r="B21" s="39"/>
      <c r="C21" s="58"/>
      <c r="D21" s="202"/>
      <c r="E21" s="202"/>
      <c r="F21" s="204">
        <f>IF(AND(F9="x",F10="x",F11="x"),"please pick only on bed",)</f>
        <v>0</v>
      </c>
      <c r="G21" s="202"/>
      <c r="H21" s="202"/>
      <c r="I21" s="202"/>
    </row>
    <row r="22" spans="2:9" ht="31.5" hidden="1" customHeight="1" x14ac:dyDescent="0.2">
      <c r="B22" s="39"/>
      <c r="C22" s="58"/>
      <c r="D22" s="202"/>
      <c r="E22" s="202"/>
      <c r="F22" s="204"/>
      <c r="G22" s="202"/>
      <c r="H22" s="202"/>
      <c r="I22" s="202"/>
    </row>
    <row r="23" spans="2:9" s="196" customFormat="1" ht="20.25" customHeight="1" x14ac:dyDescent="0.2">
      <c r="B23" s="194" t="s">
        <v>25</v>
      </c>
      <c r="C23" s="195"/>
      <c r="I23" s="197"/>
    </row>
    <row r="24" spans="2:9" s="196" customFormat="1" ht="10.5" customHeight="1" x14ac:dyDescent="0.2">
      <c r="B24" s="194"/>
      <c r="C24" s="195"/>
    </row>
    <row r="25" spans="2:9" s="196" customFormat="1" ht="20.25" hidden="1" customHeight="1" x14ac:dyDescent="0.2">
      <c r="C25" s="195"/>
    </row>
    <row r="26" spans="2:9" s="196" customFormat="1" ht="20.25" hidden="1" customHeight="1" x14ac:dyDescent="0.2">
      <c r="C26" s="195"/>
    </row>
    <row r="27" spans="2:9" s="196" customFormat="1" ht="20.25" hidden="1" customHeight="1" x14ac:dyDescent="0.2">
      <c r="C27" s="195"/>
      <c r="D27" s="197"/>
      <c r="E27" s="197"/>
      <c r="F27" s="197"/>
      <c r="G27" s="197"/>
      <c r="H27" s="197"/>
    </row>
    <row r="28" spans="2:9" ht="27" hidden="1" customHeight="1" x14ac:dyDescent="0.2">
      <c r="B28" s="194"/>
      <c r="C28" s="11" t="s">
        <v>17</v>
      </c>
      <c r="D28" s="198">
        <f>IF(F6&gt;0,H6,0)</f>
        <v>0</v>
      </c>
      <c r="E28" s="198">
        <f>IF(F6&gt;0,H6,0)</f>
        <v>0</v>
      </c>
      <c r="F28" s="198">
        <f>IF($E$6&gt;2,$H$6,0)</f>
        <v>0</v>
      </c>
      <c r="G28" s="198">
        <f>IF($E$6&gt;2,$H$6,0)</f>
        <v>0</v>
      </c>
      <c r="H28" s="198">
        <f>IF($E$6&gt;2,$H$6,0)</f>
        <v>0</v>
      </c>
    </row>
    <row r="29" spans="2:9" ht="27" hidden="1" customHeight="1" x14ac:dyDescent="0.2">
      <c r="B29" s="194"/>
      <c r="C29" s="11" t="s">
        <v>18</v>
      </c>
      <c r="D29" s="198">
        <f>IF(F7&gt;0,H7,0)</f>
        <v>0</v>
      </c>
      <c r="E29" s="198">
        <f>IF(F7&gt;0,H7,0)</f>
        <v>0</v>
      </c>
      <c r="F29" s="198">
        <f>IF($E$7&gt;2,$H$7,0)</f>
        <v>0</v>
      </c>
      <c r="G29" s="198">
        <f>IF($E$7&gt;2,$H$7,0)</f>
        <v>0</v>
      </c>
      <c r="H29" s="198">
        <f>IF($E$7&gt;2,$H$7,0)</f>
        <v>0</v>
      </c>
    </row>
    <row r="30" spans="2:9" ht="27" hidden="1" customHeight="1" x14ac:dyDescent="0.2">
      <c r="B30" s="194"/>
      <c r="C30" s="11" t="s">
        <v>19</v>
      </c>
      <c r="D30" s="198">
        <f>IF($F$8&gt;0,$H$8,0)</f>
        <v>0</v>
      </c>
      <c r="E30" s="198">
        <f>IF($F$8&gt;0,$H$8,0)</f>
        <v>0</v>
      </c>
      <c r="F30" s="198">
        <f>IF($F$8&gt;0,$H$8,0)</f>
        <v>0</v>
      </c>
      <c r="G30" s="198">
        <f>IF($F$8&gt;0,$H$8,0)</f>
        <v>0</v>
      </c>
      <c r="H30" s="198">
        <f>IF($F$8&gt;0,$H$8,0)</f>
        <v>0</v>
      </c>
    </row>
    <row r="31" spans="2:9" ht="27" hidden="1" customHeight="1" x14ac:dyDescent="0.2">
      <c r="B31" s="194"/>
      <c r="C31" s="11" t="s">
        <v>23</v>
      </c>
      <c r="D31" s="198">
        <f>IF(F9&gt;0,H9,0)</f>
        <v>0</v>
      </c>
      <c r="E31" s="198">
        <f>IF(F9&gt;0,H9,0)</f>
        <v>0</v>
      </c>
      <c r="F31" s="198">
        <f>IF($E$9&gt;2,$H$9,0)</f>
        <v>0</v>
      </c>
      <c r="G31" s="198">
        <f>IF($E$9&gt;2,$H$9,0)</f>
        <v>0</v>
      </c>
      <c r="H31" s="198">
        <f>IF($E$9&gt;2,$H$9,0)</f>
        <v>0</v>
      </c>
    </row>
    <row r="32" spans="2:9" ht="27" hidden="1" customHeight="1" x14ac:dyDescent="0.2">
      <c r="B32" s="194"/>
      <c r="C32" s="11" t="s">
        <v>24</v>
      </c>
      <c r="D32" s="198">
        <f>IF(F10&gt;0,H10,0)</f>
        <v>0</v>
      </c>
      <c r="E32" s="198">
        <f>IF(F10&gt;0,H10,0)</f>
        <v>0</v>
      </c>
      <c r="F32" s="198">
        <f>IF($F$10&gt;0,$H$10,0)</f>
        <v>0</v>
      </c>
      <c r="G32" s="198">
        <f>IF($F$10&gt;0,$H$10,0)</f>
        <v>0</v>
      </c>
      <c r="H32" s="198">
        <f>IF($F$10&gt;0,$H$10,0)</f>
        <v>0</v>
      </c>
    </row>
    <row r="33" spans="2:9" ht="27" hidden="1" customHeight="1" x14ac:dyDescent="0.2">
      <c r="C33" s="11" t="s">
        <v>20</v>
      </c>
      <c r="D33" s="198">
        <f>IF(F11&gt;0,H11,0)</f>
        <v>0</v>
      </c>
      <c r="E33" s="198">
        <f>IF(F11&gt;0,H11,0)</f>
        <v>0</v>
      </c>
      <c r="F33" s="198">
        <f>IF($F$11&gt;0,$H$11,0)</f>
        <v>0</v>
      </c>
      <c r="G33" s="198">
        <f>IF($F$11&gt;0,$H$11,0)</f>
        <v>0</v>
      </c>
      <c r="H33" s="198">
        <f>IF($F$11&gt;0,$H$11,0)</f>
        <v>0</v>
      </c>
      <c r="I33" s="190">
        <f>SUM(D28:H33)</f>
        <v>0</v>
      </c>
    </row>
    <row r="34" spans="2:9" ht="20.25" hidden="1" customHeight="1" x14ac:dyDescent="0.2">
      <c r="D34" s="199"/>
      <c r="E34" s="199"/>
      <c r="F34" s="199"/>
      <c r="G34" s="199"/>
      <c r="H34" s="199"/>
    </row>
    <row r="35" spans="2:9" ht="20.25" customHeight="1" x14ac:dyDescent="0.2">
      <c r="D35" s="199"/>
      <c r="E35" s="199"/>
      <c r="F35" s="199"/>
      <c r="G35" s="199"/>
      <c r="H35" s="199"/>
    </row>
    <row r="36" spans="2:9" s="196" customFormat="1" ht="61.5" customHeight="1" x14ac:dyDescent="0.2">
      <c r="B36" s="182" t="s">
        <v>141</v>
      </c>
      <c r="C36" s="391" t="s">
        <v>142</v>
      </c>
      <c r="D36" s="392"/>
      <c r="E36" s="392"/>
      <c r="F36" s="392"/>
      <c r="G36" s="392"/>
      <c r="H36" s="392"/>
      <c r="I36" s="392"/>
    </row>
    <row r="37" spans="2:9" s="196" customFormat="1" ht="20.25" customHeight="1" x14ac:dyDescent="0.2">
      <c r="C37" s="195"/>
      <c r="D37" s="200"/>
      <c r="E37" s="200"/>
      <c r="F37" s="200"/>
      <c r="G37" s="200"/>
      <c r="H37" s="200"/>
    </row>
    <row r="38" spans="2:9" s="196" customFormat="1" ht="27.75" customHeight="1" x14ac:dyDescent="0.2">
      <c r="B38" s="182" t="s">
        <v>143</v>
      </c>
      <c r="C38" s="393" t="s">
        <v>34</v>
      </c>
      <c r="D38" s="394"/>
      <c r="E38" s="394"/>
      <c r="F38" s="394"/>
      <c r="G38" s="394"/>
      <c r="H38" s="394"/>
      <c r="I38" s="394"/>
    </row>
    <row r="39" spans="2:9" s="196" customFormat="1" ht="15" customHeight="1" x14ac:dyDescent="0.2">
      <c r="B39" s="181"/>
      <c r="C39" s="183"/>
      <c r="D39" s="181"/>
      <c r="E39" s="181"/>
      <c r="F39" s="181"/>
      <c r="G39" s="181"/>
      <c r="H39" s="181"/>
      <c r="I39" s="181"/>
    </row>
    <row r="40" spans="2:9" s="196" customFormat="1" x14ac:dyDescent="0.2">
      <c r="B40" s="181"/>
      <c r="C40" s="201" t="s">
        <v>146</v>
      </c>
      <c r="D40" s="183"/>
      <c r="E40" s="181"/>
      <c r="F40" s="181"/>
      <c r="G40" s="181"/>
      <c r="H40" s="181"/>
      <c r="I40" s="181"/>
    </row>
    <row r="41" spans="2:9" s="196" customFormat="1" x14ac:dyDescent="0.2">
      <c r="B41" s="181"/>
      <c r="C41" s="201" t="s">
        <v>150</v>
      </c>
      <c r="D41" s="183"/>
      <c r="E41" s="181"/>
      <c r="F41" s="181"/>
      <c r="G41" s="181"/>
      <c r="H41" s="181"/>
      <c r="I41" s="181"/>
    </row>
    <row r="42" spans="2:9" s="196" customFormat="1" x14ac:dyDescent="0.2">
      <c r="B42" s="181"/>
      <c r="C42" s="201" t="s">
        <v>147</v>
      </c>
      <c r="D42" s="183"/>
      <c r="E42" s="181"/>
      <c r="F42" s="181"/>
      <c r="G42" s="181"/>
      <c r="H42" s="181"/>
      <c r="I42" s="181"/>
    </row>
    <row r="43" spans="2:9" s="196" customFormat="1" x14ac:dyDescent="0.2">
      <c r="B43" s="181"/>
      <c r="C43" s="201" t="s">
        <v>148</v>
      </c>
      <c r="D43" s="183"/>
      <c r="E43" s="181"/>
      <c r="F43" s="181"/>
      <c r="G43" s="181"/>
      <c r="H43" s="181"/>
      <c r="I43" s="181"/>
    </row>
    <row r="44" spans="2:9" x14ac:dyDescent="0.2">
      <c r="B44" s="10"/>
    </row>
    <row r="45" spans="2:9" ht="12" customHeight="1" x14ac:dyDescent="0.2"/>
    <row r="46" spans="2:9" ht="12" customHeight="1" x14ac:dyDescent="0.2"/>
    <row r="47" spans="2:9" ht="12" customHeight="1" x14ac:dyDescent="0.2"/>
    <row r="48" spans="2:9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</sheetData>
  <sheetProtection sheet="1" objects="1" scenarios="1" selectLockedCells="1"/>
  <mergeCells count="2">
    <mergeCell ref="C36:I36"/>
    <mergeCell ref="C38:I38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Index</vt:lpstr>
      <vt:lpstr>Summary</vt:lpstr>
      <vt:lpstr>Application Fees</vt:lpstr>
      <vt:lpstr>Point Sourc Subs calc </vt:lpstr>
      <vt:lpstr>Disposal to Land  Subs</vt:lpstr>
      <vt:lpstr>Abstraction Subs Calc</vt:lpstr>
      <vt:lpstr>Impoundment Subs Calc</vt:lpstr>
      <vt:lpstr>Engineering Subsistence Scheme</vt:lpstr>
      <vt:lpstr>Eng Subs Calc</vt:lpstr>
      <vt:lpstr>Summary!_ftn1</vt:lpstr>
      <vt:lpstr>Summary!_ftnref1</vt:lpstr>
      <vt:lpstr>'Engineering Subsistence Scheme'!Print_Area</vt:lpstr>
      <vt:lpstr>'Impoundment Subs Calc'!Print_Area</vt:lpstr>
      <vt:lpstr>Summary!Print_Area</vt:lpstr>
    </vt:vector>
  </TitlesOfParts>
  <Company>SEPA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simon.olley</dc:creator>
  <cp:lastModifiedBy>Clark, Colin</cp:lastModifiedBy>
  <cp:lastPrinted>2009-10-28T13:12:28Z</cp:lastPrinted>
  <dcterms:created xsi:type="dcterms:W3CDTF">2005-05-25T17:28:08Z</dcterms:created>
  <dcterms:modified xsi:type="dcterms:W3CDTF">2014-11-04T11:29:51Z</dcterms:modified>
</cp:coreProperties>
</file>